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gurgulc\Desktop\"/>
    </mc:Choice>
  </mc:AlternateContent>
  <bookViews>
    <workbookView xWindow="-15" yWindow="-15" windowWidth="15480" windowHeight="4350" tabRatio="911"/>
  </bookViews>
  <sheets>
    <sheet name="The Model" sheetId="12" r:id="rId1"/>
    <sheet name="Input Sheet" sheetId="2" r:id="rId2"/>
    <sheet name="Staff. Assumptions - Ear.Disch." sheetId="6" r:id="rId3"/>
    <sheet name="Staff. Assumptions - Comm Rehab" sheetId="10" r:id="rId4"/>
    <sheet name="Outcome Assumptions" sheetId="7" r:id="rId5"/>
    <sheet name="Cost Assumptions" sheetId="9" r:id="rId6"/>
    <sheet name="Early Discharge Results" sheetId="8" r:id="rId7"/>
    <sheet name="Community Rehab Results" sheetId="11" r:id="rId8"/>
  </sheets>
  <calcPr calcId="162913"/>
</workbook>
</file>

<file path=xl/calcChain.xml><?xml version="1.0" encoding="utf-8"?>
<calcChain xmlns="http://schemas.openxmlformats.org/spreadsheetml/2006/main">
  <c r="F4" i="11" l="1"/>
  <c r="F9" i="11" s="1"/>
  <c r="F13" i="11" s="1"/>
  <c r="F4" i="8"/>
  <c r="F5" i="8" s="1"/>
  <c r="F21" i="8" s="1"/>
  <c r="L4" i="9"/>
  <c r="M4" i="9"/>
  <c r="L5" i="9"/>
  <c r="M5" i="9"/>
  <c r="L6" i="9"/>
  <c r="M6" i="9"/>
  <c r="P2" i="2"/>
  <c r="U2" i="2"/>
  <c r="W2" i="2"/>
  <c r="X2" i="2"/>
  <c r="C4" i="8" s="1"/>
  <c r="P3" i="2"/>
  <c r="P4" i="2"/>
  <c r="P5" i="2"/>
  <c r="P6" i="2"/>
  <c r="P7" i="2"/>
  <c r="C8" i="2"/>
  <c r="P8" i="2"/>
  <c r="P9" i="2"/>
  <c r="C10" i="2"/>
  <c r="P10" i="2"/>
  <c r="P11" i="2"/>
  <c r="C12" i="2"/>
  <c r="C4" i="11" s="1"/>
  <c r="P12" i="2"/>
  <c r="P13" i="2"/>
  <c r="C14"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C23" i="8" l="1"/>
  <c r="C5" i="11"/>
  <c r="C9" i="11"/>
  <c r="D9" i="11"/>
  <c r="D13" i="11" s="1"/>
  <c r="E9" i="11"/>
  <c r="E13" i="11" s="1"/>
  <c r="C5" i="8"/>
  <c r="C6" i="8"/>
  <c r="C10" i="8"/>
  <c r="C20" i="8" s="1"/>
  <c r="C11" i="8"/>
  <c r="C12" i="8"/>
  <c r="C13" i="8"/>
  <c r="C14" i="8"/>
  <c r="C15" i="8"/>
  <c r="C16" i="8"/>
  <c r="D10" i="8"/>
  <c r="D11" i="8"/>
  <c r="D12" i="8"/>
  <c r="D13" i="8"/>
  <c r="D14" i="8"/>
  <c r="D15" i="8"/>
  <c r="D16" i="8"/>
  <c r="E10" i="8"/>
  <c r="E11" i="8"/>
  <c r="E12" i="8"/>
  <c r="E20" i="8" s="1"/>
  <c r="E13" i="8"/>
  <c r="E14" i="8"/>
  <c r="E15" i="8"/>
  <c r="E16" i="8"/>
  <c r="C13" i="11"/>
  <c r="F19" i="11"/>
  <c r="F20" i="11" s="1"/>
  <c r="E23" i="8"/>
  <c r="E21" i="8"/>
  <c r="E4" i="8"/>
  <c r="E4" i="11"/>
  <c r="E5" i="11" s="1"/>
  <c r="F5" i="11"/>
  <c r="F14" i="11" s="1"/>
  <c r="F15" i="11" s="1"/>
  <c r="F21" i="11" s="1"/>
  <c r="F22" i="11" s="1"/>
  <c r="D23" i="8"/>
  <c r="D21" i="8"/>
  <c r="D20" i="8"/>
  <c r="D4" i="8"/>
  <c r="D4" i="11"/>
  <c r="D5" i="11" s="1"/>
  <c r="F16" i="8"/>
  <c r="F15" i="8"/>
  <c r="F14" i="8"/>
  <c r="F13" i="8"/>
  <c r="F12" i="8"/>
  <c r="F11" i="8"/>
  <c r="F10" i="8"/>
  <c r="F6" i="8"/>
  <c r="F23" i="8" s="1"/>
  <c r="C21" i="8"/>
  <c r="E22" i="8" l="1"/>
  <c r="E24" i="8" s="1"/>
  <c r="E30" i="8" s="1"/>
  <c r="E31" i="8" s="1"/>
  <c r="E28" i="8"/>
  <c r="E29" i="8" s="1"/>
  <c r="D19" i="11"/>
  <c r="D20" i="11" s="1"/>
  <c r="C22" i="8"/>
  <c r="C24" i="8" s="1"/>
  <c r="C30" i="8" s="1"/>
  <c r="C31" i="8" s="1"/>
  <c r="C28" i="8"/>
  <c r="C29" i="8" s="1"/>
  <c r="E19" i="11"/>
  <c r="E20" i="11" s="1"/>
  <c r="F20" i="8"/>
  <c r="E5" i="8"/>
  <c r="E6" i="8"/>
  <c r="D22" i="8"/>
  <c r="D24" i="8" s="1"/>
  <c r="D30" i="8" s="1"/>
  <c r="D31" i="8" s="1"/>
  <c r="D28" i="8"/>
  <c r="D29" i="8" s="1"/>
  <c r="C19" i="11"/>
  <c r="C20" i="11" s="1"/>
  <c r="D5" i="8"/>
  <c r="D6" i="8"/>
  <c r="C14" i="11"/>
  <c r="C15" i="11" s="1"/>
  <c r="C21" i="11" s="1"/>
  <c r="C22" i="11" s="1"/>
  <c r="D14" i="11"/>
  <c r="D15" i="11" s="1"/>
  <c r="D21" i="11" s="1"/>
  <c r="D22" i="11" s="1"/>
  <c r="E14" i="11"/>
  <c r="E15" i="11" s="1"/>
  <c r="E21" i="11" s="1"/>
  <c r="E22" i="11" s="1"/>
  <c r="F22" i="8" l="1"/>
  <c r="F24" i="8" s="1"/>
  <c r="F30" i="8" s="1"/>
  <c r="F31" i="8" s="1"/>
  <c r="F28" i="8"/>
  <c r="F29" i="8" s="1"/>
</calcChain>
</file>

<file path=xl/comments1.xml><?xml version="1.0" encoding="utf-8"?>
<comments xmlns="http://schemas.openxmlformats.org/spreadsheetml/2006/main">
  <authors>
    <author>James</author>
  </authors>
  <commentList>
    <comment ref="B2" authorId="0" shapeId="0">
      <text>
        <r>
          <rPr>
            <b/>
            <sz val="9"/>
            <color indexed="81"/>
            <rFont val="Tahoma"/>
            <family val="2"/>
          </rPr>
          <t xml:space="preserve">Base Case taken from Cochrane Review of stroke care.  Lower/upper estimates +-20%.  </t>
        </r>
        <r>
          <rPr>
            <i/>
            <sz val="9"/>
            <color indexed="81"/>
            <rFont val="Tahoma"/>
            <family val="2"/>
          </rPr>
          <t xml:space="preserve">See Early Supported Discharge Trialists. Services for reducing duration of hospital care for acute stroke patients. Cochrane Database of Systematic Reviews 2005, Issue 2 </t>
        </r>
        <r>
          <rPr>
            <sz val="9"/>
            <color indexed="81"/>
            <rFont val="Tahoma"/>
            <family val="2"/>
          </rPr>
          <t xml:space="preserve">
</t>
        </r>
      </text>
    </comment>
    <comment ref="B24" authorId="0" shapeId="0">
      <text>
        <r>
          <rPr>
            <b/>
            <sz val="9"/>
            <color indexed="81"/>
            <rFont val="Tahoma"/>
            <family val="2"/>
          </rPr>
          <t>Costs all taken from Unit Costs of Health and Social Care, PSSRU, 2007 and from Agenda for Change Pay Circular June 2008.  Costs include salary at midpoint of pay scales, oncosts and overheads but exclude qualification costs.  Salaries for Social Workers, assistants and GPs and non salary costs for all staff extrapolated by 5.5%pa for 2008 estimates.</t>
        </r>
      </text>
    </comment>
  </commentList>
</comments>
</file>

<file path=xl/comments2.xml><?xml version="1.0" encoding="utf-8"?>
<comments xmlns="http://schemas.openxmlformats.org/spreadsheetml/2006/main">
  <authors>
    <author>James</author>
  </authors>
  <commentList>
    <comment ref="B12" authorId="0" shapeId="0">
      <text>
        <r>
          <rPr>
            <b/>
            <sz val="9"/>
            <color indexed="81"/>
            <rFont val="Tahoma"/>
            <family val="2"/>
          </rPr>
          <t xml:space="preserve">Costs taken from Unit Costs of Health and Social Care, PSSRU, 2007 and from Agenda for Change Pay Circular June 2008.  Costs include salary at midpoint of pay scales, oncosts and overheads but exclude qualification costs.  </t>
        </r>
        <r>
          <rPr>
            <sz val="9"/>
            <color indexed="81"/>
            <rFont val="Tahoma"/>
            <family val="2"/>
          </rPr>
          <t xml:space="preserve">
</t>
        </r>
      </text>
    </comment>
  </commentList>
</comments>
</file>

<file path=xl/comments3.xml><?xml version="1.0" encoding="utf-8"?>
<comments xmlns="http://schemas.openxmlformats.org/spreadsheetml/2006/main">
  <authors>
    <author>James</author>
  </authors>
  <commentList>
    <comment ref="C2" authorId="0" shapeId="0">
      <text>
        <r>
          <rPr>
            <b/>
            <sz val="9"/>
            <color indexed="81"/>
            <rFont val="Tahoma"/>
            <family val="2"/>
          </rPr>
          <t xml:space="preserve">Suitability and early discharge outcome data taken from Cochrane Review of stroke care  to reduce inpatient stays.  </t>
        </r>
        <r>
          <rPr>
            <i/>
            <sz val="9"/>
            <color indexed="81"/>
            <rFont val="Tahoma"/>
            <family val="2"/>
          </rPr>
          <t xml:space="preserve">Early Supported Discharge Trialists. Services for reducing duration of hospital care for acute stroke patients. Cochrane Database of Systematic Reviews 2005, Issue 2.  </t>
        </r>
        <r>
          <rPr>
            <b/>
            <sz val="9"/>
            <color indexed="81"/>
            <rFont val="Tahoma"/>
            <family val="2"/>
          </rPr>
          <t xml:space="preserve">Evidence from a Cohrane Review of stroke units suggests that 8 out of every 100 patients will be eligible for early discharge compared to hospital care. </t>
        </r>
        <r>
          <rPr>
            <i/>
            <sz val="9"/>
            <color indexed="81"/>
            <rFont val="Tahoma"/>
            <family val="2"/>
          </rPr>
          <t xml:space="preserve">Stroke Unit Trialists' Collaboration. Organised inpatient (stroke unit) care for stroke. Cochrane Database of Systematic Reviews 2007, Issue 4. Art. No.: CD000197. DOI: 10.1002/14651858.CD000197.pub2 </t>
        </r>
      </text>
    </comment>
    <comment ref="C25" authorId="0" shapeId="0">
      <text>
        <r>
          <rPr>
            <b/>
            <sz val="9"/>
            <color indexed="81"/>
            <rFont val="Tahoma"/>
            <family val="2"/>
          </rPr>
          <t>Ref 34 from review</t>
        </r>
        <r>
          <rPr>
            <sz val="9"/>
            <color indexed="81"/>
            <rFont val="Tahoma"/>
            <family val="2"/>
          </rPr>
          <t xml:space="preserve">
</t>
        </r>
      </text>
    </comment>
  </commentList>
</comments>
</file>

<file path=xl/comments4.xml><?xml version="1.0" encoding="utf-8"?>
<comments xmlns="http://schemas.openxmlformats.org/spreadsheetml/2006/main">
  <authors>
    <author>James</author>
  </authors>
  <commentList>
    <comment ref="B2" authorId="0" shapeId="0">
      <text>
        <r>
          <rPr>
            <b/>
            <sz val="9"/>
            <color indexed="81"/>
            <rFont val="Tahoma"/>
            <family val="2"/>
          </rPr>
          <t xml:space="preserve">From National Tariff, see http://www.dh.gov.uk/en/Publicationsandstatistics/Publications/PublicationsPolicyAndGuidance/DH_081096 and http://www.cat.csip.org.uk/_library/rehab%20unbundling.pdf.  Figure for 2006/07 rolled forward by 5%.
</t>
        </r>
      </text>
    </comment>
    <comment ref="B7" authorId="0" shapeId="0">
      <text>
        <r>
          <rPr>
            <b/>
            <sz val="9"/>
            <color indexed="81"/>
            <rFont val="Tahoma"/>
            <family val="2"/>
          </rPr>
          <t>Costs taken from Unit Costs of Health and Social Care, PSSRU, 2007, cost of residential nursing bed per week.  Extrapolated foward from 2006-07 by 5%pa.  Upper and lower estimates are +-20%.  For London PCTs the costs are multiplied by 1.14.</t>
        </r>
      </text>
    </comment>
    <comment ref="B14" authorId="0" shapeId="0">
      <text>
        <r>
          <rPr>
            <b/>
            <sz val="9"/>
            <color indexed="81"/>
            <rFont val="Tahoma"/>
            <family val="2"/>
          </rPr>
          <t xml:space="preserve">From Dame Carol Blacks' </t>
        </r>
        <r>
          <rPr>
            <b/>
            <i/>
            <sz val="9"/>
            <color indexed="81"/>
            <rFont val="Tahoma"/>
            <family val="2"/>
          </rPr>
          <t>Working for a Healthier Tomorrow</t>
        </r>
      </text>
    </comment>
  </commentList>
</comments>
</file>

<file path=xl/comments5.xml><?xml version="1.0" encoding="utf-8"?>
<comments xmlns="http://schemas.openxmlformats.org/spreadsheetml/2006/main">
  <authors>
    <author>James</author>
  </authors>
  <commentList>
    <comment ref="D9" authorId="0" shapeId="0">
      <text>
        <r>
          <rPr>
            <b/>
            <sz val="9"/>
            <color indexed="81"/>
            <rFont val="Tahoma"/>
            <family val="2"/>
          </rPr>
          <t>Base case estimate of eligible patients with lower estimate of team numbers required.</t>
        </r>
        <r>
          <rPr>
            <sz val="9"/>
            <color indexed="81"/>
            <rFont val="Tahoma"/>
            <family val="2"/>
          </rPr>
          <t xml:space="preserve">
</t>
        </r>
      </text>
    </comment>
    <comment ref="E9" authorId="0" shapeId="0">
      <text>
        <r>
          <rPr>
            <b/>
            <sz val="9"/>
            <color indexed="81"/>
            <rFont val="Tahoma"/>
            <family val="2"/>
          </rPr>
          <t>Base case estimate of eligible patients with upper estimate of team numbers required.</t>
        </r>
      </text>
    </comment>
    <comment ref="D19" authorId="0" shapeId="0">
      <text>
        <r>
          <rPr>
            <b/>
            <sz val="9"/>
            <color indexed="81"/>
            <rFont val="Tahoma"/>
            <family val="2"/>
          </rPr>
          <t>- Base case numbers eligible
- Smallest team
- Upper estimate of bed days saved per patient
- Upper estimate of nursing home placements avoided per patient
- Lower estimate of costs of team members</t>
        </r>
        <r>
          <rPr>
            <sz val="9"/>
            <color indexed="81"/>
            <rFont val="Tahoma"/>
            <family val="2"/>
          </rPr>
          <t xml:space="preserve">
</t>
        </r>
        <r>
          <rPr>
            <b/>
            <sz val="9"/>
            <color indexed="81"/>
            <rFont val="Tahoma"/>
            <family val="2"/>
          </rPr>
          <t xml:space="preserve">- Upper quartile cost per bed day
- Upper quartile of cost per day residential care
</t>
        </r>
      </text>
    </comment>
    <comment ref="E19" authorId="0" shapeId="0">
      <text>
        <r>
          <rPr>
            <b/>
            <sz val="9"/>
            <color indexed="81"/>
            <rFont val="Tahoma"/>
            <family val="2"/>
          </rPr>
          <t>- Base case numbers eligible
- Largest team
- Lower estimate of bed days saved per patient
- Lower estimate of nursing home placements avoided per patient
- Upper estimate of costs of team members
- Lower quartile of cost per bed day
- Lower quartile of cost per day residential care</t>
        </r>
      </text>
    </comment>
    <comment ref="B23" authorId="0" shapeId="0">
      <text>
        <r>
          <rPr>
            <b/>
            <sz val="9"/>
            <color indexed="81"/>
            <rFont val="Tahoma"/>
            <family val="2"/>
          </rPr>
          <t>Assumes 6 months saving per placement avoided in the first year after stroke.</t>
        </r>
        <r>
          <rPr>
            <sz val="9"/>
            <color indexed="81"/>
            <rFont val="Tahoma"/>
            <family val="2"/>
          </rPr>
          <t xml:space="preserve">
</t>
        </r>
      </text>
    </comment>
    <comment ref="C27" authorId="0" shapeId="0">
      <text>
        <r>
          <rPr>
            <b/>
            <sz val="9"/>
            <color indexed="81"/>
            <rFont val="Tahoma"/>
            <family val="2"/>
          </rPr>
          <t>Assuming mid point of weekly cost for Employment and Support Allowance</t>
        </r>
        <r>
          <rPr>
            <sz val="9"/>
            <color indexed="81"/>
            <rFont val="Tahoma"/>
            <family val="2"/>
          </rPr>
          <t xml:space="preserve">
</t>
        </r>
      </text>
    </comment>
    <comment ref="D27" authorId="0" shapeId="0">
      <text>
        <r>
          <rPr>
            <b/>
            <sz val="9"/>
            <color indexed="81"/>
            <rFont val="Tahoma"/>
            <family val="2"/>
          </rPr>
          <t>Assuming maximum weekly cost for Employment and Support Allowance</t>
        </r>
      </text>
    </comment>
    <comment ref="E27" authorId="0" shapeId="0">
      <text>
        <r>
          <rPr>
            <b/>
            <sz val="9"/>
            <color indexed="81"/>
            <rFont val="Tahoma"/>
            <family val="2"/>
          </rPr>
          <t>Assuming minimum weekly cost for Employment and Support Allowance</t>
        </r>
      </text>
    </comment>
  </commentList>
</comments>
</file>

<file path=xl/comments6.xml><?xml version="1.0" encoding="utf-8"?>
<comments xmlns="http://schemas.openxmlformats.org/spreadsheetml/2006/main">
  <authors>
    <author>James</author>
  </authors>
  <commentList>
    <comment ref="D8" authorId="0" shapeId="0">
      <text>
        <r>
          <rPr>
            <b/>
            <sz val="9"/>
            <color indexed="81"/>
            <rFont val="Tahoma"/>
            <family val="2"/>
          </rPr>
          <t>Base case estimate of eligible patients with lower estimate of physiotherpists required.</t>
        </r>
        <r>
          <rPr>
            <sz val="9"/>
            <color indexed="81"/>
            <rFont val="Tahoma"/>
            <family val="2"/>
          </rPr>
          <t xml:space="preserve">
</t>
        </r>
      </text>
    </comment>
    <comment ref="E8" authorId="0" shapeId="0">
      <text>
        <r>
          <rPr>
            <b/>
            <sz val="9"/>
            <color indexed="81"/>
            <rFont val="Tahoma"/>
            <family val="2"/>
          </rPr>
          <t>Base case estimate of eligible patients with upper estimate of physiotherpists required.</t>
        </r>
      </text>
    </comment>
    <comment ref="D12" authorId="0" shapeId="0">
      <text>
        <r>
          <rPr>
            <b/>
            <sz val="9"/>
            <color indexed="81"/>
            <rFont val="Tahoma"/>
            <family val="2"/>
          </rPr>
          <t>- Base case numbers eligible
- Lowest number of physiotherpists required
- Upper estimate of bed days saved per patient
- Upper estimate of costs of physiotherpists</t>
        </r>
        <r>
          <rPr>
            <sz val="9"/>
            <color indexed="81"/>
            <rFont val="Tahoma"/>
            <family val="2"/>
          </rPr>
          <t xml:space="preserve">
</t>
        </r>
        <r>
          <rPr>
            <b/>
            <sz val="9"/>
            <color indexed="81"/>
            <rFont val="Tahoma"/>
            <family val="2"/>
          </rPr>
          <t xml:space="preserve">- Upper quartile cost per bed day
</t>
        </r>
      </text>
    </comment>
    <comment ref="E12" authorId="0" shapeId="0">
      <text>
        <r>
          <rPr>
            <b/>
            <sz val="9"/>
            <color indexed="81"/>
            <rFont val="Tahoma"/>
            <family val="2"/>
          </rPr>
          <t>- Base case numbers eligible
- Largest number of phyisotherpists required
- Lower estimate of bed days saved per patient
- Upper estimate of costs of physiotherpists
- Lower quartile of cost per bed day</t>
        </r>
      </text>
    </comment>
    <comment ref="C18" authorId="0" shapeId="0">
      <text>
        <r>
          <rPr>
            <b/>
            <sz val="9"/>
            <color indexed="81"/>
            <rFont val="Tahoma"/>
            <family val="2"/>
          </rPr>
          <t>Assuming mid point of weekly cost for Employment and Support Allowance</t>
        </r>
        <r>
          <rPr>
            <sz val="9"/>
            <color indexed="81"/>
            <rFont val="Tahoma"/>
            <family val="2"/>
          </rPr>
          <t xml:space="preserve">
</t>
        </r>
      </text>
    </comment>
    <comment ref="D18" authorId="0" shapeId="0">
      <text>
        <r>
          <rPr>
            <b/>
            <sz val="9"/>
            <color indexed="81"/>
            <rFont val="Tahoma"/>
            <family val="2"/>
          </rPr>
          <t>Assuming maximum weekly cost for Employment and Support Allowance</t>
        </r>
      </text>
    </comment>
    <comment ref="E18" authorId="0" shapeId="0">
      <text>
        <r>
          <rPr>
            <b/>
            <sz val="9"/>
            <color indexed="81"/>
            <rFont val="Tahoma"/>
            <family val="2"/>
          </rPr>
          <t>Assuming minimum weekly cost for Employment and Support Allowance</t>
        </r>
      </text>
    </comment>
  </commentList>
</comments>
</file>

<file path=xl/sharedStrings.xml><?xml version="1.0" encoding="utf-8"?>
<sst xmlns="http://schemas.openxmlformats.org/spreadsheetml/2006/main" count="881" uniqueCount="554">
  <si>
    <t>PCT</t>
  </si>
  <si>
    <t>Acute Stroke Unit</t>
  </si>
  <si>
    <t>User Defined</t>
  </si>
  <si>
    <t>Worse Case</t>
  </si>
  <si>
    <t>Best Case</t>
  </si>
  <si>
    <t>County Durham</t>
  </si>
  <si>
    <t>5ND</t>
  </si>
  <si>
    <t>Darlington</t>
  </si>
  <si>
    <t>5J9</t>
  </si>
  <si>
    <t>Gateshead</t>
  </si>
  <si>
    <t>5KF</t>
  </si>
  <si>
    <t>Hartlepool</t>
  </si>
  <si>
    <t>5D9</t>
  </si>
  <si>
    <t>Middlesbrough</t>
  </si>
  <si>
    <t>5KM</t>
  </si>
  <si>
    <t>Newcastle</t>
  </si>
  <si>
    <t>5D7</t>
  </si>
  <si>
    <t>Stockton-on-Tees Teaching</t>
  </si>
  <si>
    <t>5E1</t>
  </si>
  <si>
    <t>North Tyneside</t>
  </si>
  <si>
    <t>5D8</t>
  </si>
  <si>
    <t>Northumberland</t>
  </si>
  <si>
    <t>TAC</t>
  </si>
  <si>
    <t>Redcar and Cleveland</t>
  </si>
  <si>
    <t>5QR</t>
  </si>
  <si>
    <t>South Tyneside</t>
  </si>
  <si>
    <t>5KG</t>
  </si>
  <si>
    <t>Sunderland Teaching</t>
  </si>
  <si>
    <t>5KL</t>
  </si>
  <si>
    <t>Ashton, Leigh and Wigan</t>
  </si>
  <si>
    <t>5HG</t>
  </si>
  <si>
    <t>Blackburn with Darwen</t>
  </si>
  <si>
    <t>5CC</t>
  </si>
  <si>
    <t>Blackpool</t>
  </si>
  <si>
    <t>5HP</t>
  </si>
  <si>
    <t>Bolton</t>
  </si>
  <si>
    <t>5HQ</t>
  </si>
  <si>
    <t>Bury</t>
  </si>
  <si>
    <t>5JX</t>
  </si>
  <si>
    <t>Central and Eastern Cheshire</t>
  </si>
  <si>
    <t>5NP</t>
  </si>
  <si>
    <t>Central Lancashire</t>
  </si>
  <si>
    <t>5NG</t>
  </si>
  <si>
    <t>Cumbria Teaching</t>
  </si>
  <si>
    <t>5NE</t>
  </si>
  <si>
    <t>East Lancashire Teaching</t>
  </si>
  <si>
    <t>5NH</t>
  </si>
  <si>
    <t>Halton and St Helens</t>
  </si>
  <si>
    <t>5NM</t>
  </si>
  <si>
    <t>Heywood, Middleton and Rochdale</t>
  </si>
  <si>
    <t>5NQ</t>
  </si>
  <si>
    <t>Knowsley</t>
  </si>
  <si>
    <t>5J4</t>
  </si>
  <si>
    <t>Liverpool</t>
  </si>
  <si>
    <t>5NL</t>
  </si>
  <si>
    <t>Manchester</t>
  </si>
  <si>
    <t>5NT</t>
  </si>
  <si>
    <t>North Lancashire Teaching</t>
  </si>
  <si>
    <t>5NF</t>
  </si>
  <si>
    <t>Oldham</t>
  </si>
  <si>
    <t>5J5</t>
  </si>
  <si>
    <t>Salford</t>
  </si>
  <si>
    <t>5F5</t>
  </si>
  <si>
    <t>Sefton</t>
  </si>
  <si>
    <t>5NJ</t>
  </si>
  <si>
    <t>Stockport</t>
  </si>
  <si>
    <t>5F7</t>
  </si>
  <si>
    <t>5LH</t>
  </si>
  <si>
    <t>Trafford</t>
  </si>
  <si>
    <t>5NR</t>
  </si>
  <si>
    <t>Warrington</t>
  </si>
  <si>
    <t>5J2</t>
  </si>
  <si>
    <t>Western Cheshire</t>
  </si>
  <si>
    <t>5NN</t>
  </si>
  <si>
    <t>Wirral</t>
  </si>
  <si>
    <t>5NK</t>
  </si>
  <si>
    <t>Barnsley</t>
  </si>
  <si>
    <t>5JE</t>
  </si>
  <si>
    <t>Bradford and Airedale Teaching</t>
  </si>
  <si>
    <t>5NY</t>
  </si>
  <si>
    <t>Calderdale</t>
  </si>
  <si>
    <t>5J6</t>
  </si>
  <si>
    <t>Doncaster</t>
  </si>
  <si>
    <t>5N5</t>
  </si>
  <si>
    <t>East Riding of Yorkshire</t>
  </si>
  <si>
    <t>5NW</t>
  </si>
  <si>
    <t>Hull Teaching</t>
  </si>
  <si>
    <t>5NX</t>
  </si>
  <si>
    <t>Kirklees</t>
  </si>
  <si>
    <t>5N2</t>
  </si>
  <si>
    <t>Leeds</t>
  </si>
  <si>
    <t>5N1</t>
  </si>
  <si>
    <t>North East Lincolnshire</t>
  </si>
  <si>
    <t>TAN</t>
  </si>
  <si>
    <t>North Lincolnshire</t>
  </si>
  <si>
    <t>5EF</t>
  </si>
  <si>
    <t>North Yorkshire and York</t>
  </si>
  <si>
    <t>5NV</t>
  </si>
  <si>
    <t>Rotherham</t>
  </si>
  <si>
    <t>5H8</t>
  </si>
  <si>
    <t>Sheffield</t>
  </si>
  <si>
    <t>5N4</t>
  </si>
  <si>
    <t>Wakefield District</t>
  </si>
  <si>
    <t>5N3</t>
  </si>
  <si>
    <t>Bassetlaw</t>
  </si>
  <si>
    <t>5ET</t>
  </si>
  <si>
    <t>Derby City</t>
  </si>
  <si>
    <t>5N7</t>
  </si>
  <si>
    <t>Derbyshire County</t>
  </si>
  <si>
    <t>5N6</t>
  </si>
  <si>
    <t>Leicester City</t>
  </si>
  <si>
    <t>5PC</t>
  </si>
  <si>
    <t>Leicestershire County and Rutland</t>
  </si>
  <si>
    <t>5PA</t>
  </si>
  <si>
    <t>5N9</t>
  </si>
  <si>
    <t>Northamptonshire Teaching</t>
  </si>
  <si>
    <t>5PD</t>
  </si>
  <si>
    <t>Nottingham City</t>
  </si>
  <si>
    <t>5EM</t>
  </si>
  <si>
    <t>Nottinghamshire County Teaching</t>
  </si>
  <si>
    <t>5N8</t>
  </si>
  <si>
    <t>Birmingham East and North</t>
  </si>
  <si>
    <t>5PG</t>
  </si>
  <si>
    <t>Coventry Teaching</t>
  </si>
  <si>
    <t>5MD</t>
  </si>
  <si>
    <t>Dudley</t>
  </si>
  <si>
    <t>5PE</t>
  </si>
  <si>
    <t>Heart of Birmingham Teaching</t>
  </si>
  <si>
    <t>5MX</t>
  </si>
  <si>
    <t>Herefordshire</t>
  </si>
  <si>
    <t>5CN</t>
  </si>
  <si>
    <t>North Staffordshire</t>
  </si>
  <si>
    <t>5PH</t>
  </si>
  <si>
    <t>Sandwell</t>
  </si>
  <si>
    <t>5PF</t>
  </si>
  <si>
    <t>Shropshire County</t>
  </si>
  <si>
    <t>5M2</t>
  </si>
  <si>
    <r>
      <t>Solihull</t>
    </r>
    <r>
      <rPr>
        <vertAlign val="superscript"/>
        <sz val="12"/>
        <rFont val="Times New Roman"/>
        <family val="1"/>
      </rPr>
      <t xml:space="preserve"> </t>
    </r>
  </si>
  <si>
    <t>TAM</t>
  </si>
  <si>
    <t>South Birmingham</t>
  </si>
  <si>
    <t>5M1</t>
  </si>
  <si>
    <t>South Staffordshire</t>
  </si>
  <si>
    <t>5PK</t>
  </si>
  <si>
    <t>Stoke on Trent</t>
  </si>
  <si>
    <t>5PJ</t>
  </si>
  <si>
    <t>Telford and Wrekin</t>
  </si>
  <si>
    <t>5MK</t>
  </si>
  <si>
    <t>Walsall Teaching</t>
  </si>
  <si>
    <t>5M3</t>
  </si>
  <si>
    <t>Warwickshire</t>
  </si>
  <si>
    <t>5PM</t>
  </si>
  <si>
    <t>Wolverhampton City</t>
  </si>
  <si>
    <t>5MV</t>
  </si>
  <si>
    <t>Worcestershire</t>
  </si>
  <si>
    <t>5PL</t>
  </si>
  <si>
    <t>Bedfordshire</t>
  </si>
  <si>
    <t>5P2</t>
  </si>
  <si>
    <t>Cambridgeshire</t>
  </si>
  <si>
    <t>5PP</t>
  </si>
  <si>
    <t>East and North Hertfordshire</t>
  </si>
  <si>
    <t>5P3</t>
  </si>
  <si>
    <t>Great Yarmouth and Waveney</t>
  </si>
  <si>
    <t>5PR</t>
  </si>
  <si>
    <t>Luton</t>
  </si>
  <si>
    <t>5GC</t>
  </si>
  <si>
    <t>Mid Essex</t>
  </si>
  <si>
    <t>5PX</t>
  </si>
  <si>
    <t>Norfolk</t>
  </si>
  <si>
    <t>5PQ</t>
  </si>
  <si>
    <t>North East Essex</t>
  </si>
  <si>
    <t>5PW</t>
  </si>
  <si>
    <t>Peterborough</t>
  </si>
  <si>
    <t>5PN</t>
  </si>
  <si>
    <t>South East Essex</t>
  </si>
  <si>
    <t>5P1</t>
  </si>
  <si>
    <t>South West Essex</t>
  </si>
  <si>
    <t>5PY</t>
  </si>
  <si>
    <t>Suffolk</t>
  </si>
  <si>
    <t>5PT</t>
  </si>
  <si>
    <t>West Essex</t>
  </si>
  <si>
    <t>5PV</t>
  </si>
  <si>
    <t>West Hertfordshire</t>
  </si>
  <si>
    <t>5P4</t>
  </si>
  <si>
    <t>Barking and Dagenham</t>
  </si>
  <si>
    <t>5C2</t>
  </si>
  <si>
    <t>Barnet</t>
  </si>
  <si>
    <t>5A9</t>
  </si>
  <si>
    <t>Bexley</t>
  </si>
  <si>
    <t>TAK</t>
  </si>
  <si>
    <t>Brent Teaching</t>
  </si>
  <si>
    <t>5K5</t>
  </si>
  <si>
    <t>Bromley</t>
  </si>
  <si>
    <t>5A7</t>
  </si>
  <si>
    <t>Camden</t>
  </si>
  <si>
    <t>5K7</t>
  </si>
  <si>
    <t>City and Hackney Teaching</t>
  </si>
  <si>
    <t>5C3</t>
  </si>
  <si>
    <t>Croydon</t>
  </si>
  <si>
    <t>5K9</t>
  </si>
  <si>
    <t>Ealing</t>
  </si>
  <si>
    <t>5HX</t>
  </si>
  <si>
    <t>Enfield</t>
  </si>
  <si>
    <t>5C1</t>
  </si>
  <si>
    <t>Greenwich Teaching</t>
  </si>
  <si>
    <t>5A8</t>
  </si>
  <si>
    <t>Hammersmith and Fulham</t>
  </si>
  <si>
    <t>5H1</t>
  </si>
  <si>
    <t>Haringey Teaching</t>
  </si>
  <si>
    <t>5C9</t>
  </si>
  <si>
    <t>Harrow</t>
  </si>
  <si>
    <t>5K6</t>
  </si>
  <si>
    <t>Havering</t>
  </si>
  <si>
    <t>5A4</t>
  </si>
  <si>
    <t>Hillingdon</t>
  </si>
  <si>
    <t>5AT</t>
  </si>
  <si>
    <t>Hounslow</t>
  </si>
  <si>
    <t>5HY</t>
  </si>
  <si>
    <t>Islington</t>
  </si>
  <si>
    <t>5K8</t>
  </si>
  <si>
    <t>Kensington and Chelsea</t>
  </si>
  <si>
    <t>5LA</t>
  </si>
  <si>
    <t>Kingston</t>
  </si>
  <si>
    <t>5A5</t>
  </si>
  <si>
    <t>Lambeth</t>
  </si>
  <si>
    <t>5LD</t>
  </si>
  <si>
    <t>Lewisham</t>
  </si>
  <si>
    <t>5LF</t>
  </si>
  <si>
    <t>Newham</t>
  </si>
  <si>
    <t>5C5</t>
  </si>
  <si>
    <t>Redbridge</t>
  </si>
  <si>
    <t>5NA</t>
  </si>
  <si>
    <t>Richmond and Twickenham</t>
  </si>
  <si>
    <t>5M6</t>
  </si>
  <si>
    <t>Southwark</t>
  </si>
  <si>
    <t>5LE</t>
  </si>
  <si>
    <t>Sutton and Merton</t>
  </si>
  <si>
    <t>5M7</t>
  </si>
  <si>
    <t>Tower Hamlets</t>
  </si>
  <si>
    <t>5C4</t>
  </si>
  <si>
    <t>Waltham Forest</t>
  </si>
  <si>
    <t>5NC</t>
  </si>
  <si>
    <t>Wandsworth</t>
  </si>
  <si>
    <t>5LG</t>
  </si>
  <si>
    <t>Westminster</t>
  </si>
  <si>
    <t>5LC</t>
  </si>
  <si>
    <t>Brighton and Hove City</t>
  </si>
  <si>
    <t>5LQ</t>
  </si>
  <si>
    <t>East Sussex Downs and Weald</t>
  </si>
  <si>
    <t>5P7</t>
  </si>
  <si>
    <t>Eastern and Coastal Kent</t>
  </si>
  <si>
    <t>5QA</t>
  </si>
  <si>
    <t>Hastings and Rother</t>
  </si>
  <si>
    <t>5P8</t>
  </si>
  <si>
    <t>Medway</t>
  </si>
  <si>
    <t>5L3</t>
  </si>
  <si>
    <t>Surrey</t>
  </si>
  <si>
    <t>5P5</t>
  </si>
  <si>
    <t>West Kent</t>
  </si>
  <si>
    <t>5P9</t>
  </si>
  <si>
    <t>West Sussex</t>
  </si>
  <si>
    <t>5P6</t>
  </si>
  <si>
    <t>5QG</t>
  </si>
  <si>
    <t>Berkshire West</t>
  </si>
  <si>
    <t>5QF</t>
  </si>
  <si>
    <t>Buckinghamshire</t>
  </si>
  <si>
    <t>5QD</t>
  </si>
  <si>
    <t>Hampshire</t>
  </si>
  <si>
    <t>5QC</t>
  </si>
  <si>
    <t>Isle of Wight National Health Service</t>
  </si>
  <si>
    <t>5QT</t>
  </si>
  <si>
    <t>Milton Keynes</t>
  </si>
  <si>
    <t>5CQ</t>
  </si>
  <si>
    <t>Oxfordshire</t>
  </si>
  <si>
    <t>5QE</t>
  </si>
  <si>
    <t>Portsmouth City Teaching</t>
  </si>
  <si>
    <t>5FE</t>
  </si>
  <si>
    <t>Southampton City</t>
  </si>
  <si>
    <t>5L1</t>
  </si>
  <si>
    <t>Bath and North East Somerset</t>
  </si>
  <si>
    <t>5FL</t>
  </si>
  <si>
    <t>Bournemouth and Poole Teaching</t>
  </si>
  <si>
    <t>5QN</t>
  </si>
  <si>
    <t>Bristol</t>
  </si>
  <si>
    <t>5QJ</t>
  </si>
  <si>
    <t>Cornwall and Isles of Scilly</t>
  </si>
  <si>
    <t>5QP</t>
  </si>
  <si>
    <t>Devon</t>
  </si>
  <si>
    <t>5QQ</t>
  </si>
  <si>
    <t>Dorset</t>
  </si>
  <si>
    <t>5QM</t>
  </si>
  <si>
    <t>Gloucestershire</t>
  </si>
  <si>
    <t>5QH</t>
  </si>
  <si>
    <t>North Somerset</t>
  </si>
  <si>
    <t>5M8</t>
  </si>
  <si>
    <t>Plymouth Teaching</t>
  </si>
  <si>
    <t>5F1</t>
  </si>
  <si>
    <t>Somerset</t>
  </si>
  <si>
    <t>5QL</t>
  </si>
  <si>
    <t>South Gloucestershire</t>
  </si>
  <si>
    <t>5A3</t>
  </si>
  <si>
    <t>5K3</t>
  </si>
  <si>
    <t>Torbay</t>
  </si>
  <si>
    <t>TAL</t>
  </si>
  <si>
    <t>Wiltshire</t>
  </si>
  <si>
    <t>5QK</t>
  </si>
  <si>
    <t>population</t>
  </si>
  <si>
    <t>population over 65</t>
  </si>
  <si>
    <t>Lower</t>
  </si>
  <si>
    <t>Upper</t>
  </si>
  <si>
    <t>Assistant</t>
  </si>
  <si>
    <t>Base Case</t>
  </si>
  <si>
    <t>Specialist (Grade 6)</t>
  </si>
  <si>
    <t>Highly Specialist (Grade 7)</t>
  </si>
  <si>
    <t>Therapist (Grade 5)</t>
  </si>
  <si>
    <t>Nurse Specialist (Grade 6)</t>
  </si>
  <si>
    <t>Clinical Support Worker (Grade 2)</t>
  </si>
  <si>
    <t>Advanced (Grade 7)</t>
  </si>
  <si>
    <t>Social Worker</t>
  </si>
  <si>
    <t>Adult Worker (average salary)</t>
  </si>
  <si>
    <t>Adult Worker (minimum reported salary)</t>
  </si>
  <si>
    <t>GP</t>
  </si>
  <si>
    <t>Social Work Assistant (average salary)</t>
  </si>
  <si>
    <t>Social Work Assistant (minimum reported salary)</t>
  </si>
  <si>
    <t>Adult Worker (max recorded salary)</t>
  </si>
  <si>
    <t>Social Work Assistant (max recorded salary)</t>
  </si>
  <si>
    <t>Lower Estimate</t>
  </si>
  <si>
    <t>Upper Estimate</t>
  </si>
  <si>
    <t>Standard Assumption</t>
  </si>
  <si>
    <t>Estimated Annual Costs per WTE</t>
  </si>
  <si>
    <t>Fixed</t>
  </si>
  <si>
    <t>Staffing Level Assumptions - WTE Per 100 patients</t>
  </si>
  <si>
    <t>Inner London</t>
  </si>
  <si>
    <t>Staffing Level Assumptions - Seniority of Team/Wage Assumptions</t>
  </si>
  <si>
    <t>Outer London</t>
  </si>
  <si>
    <t>London Fringe</t>
  </si>
  <si>
    <t>Rest of England</t>
  </si>
  <si>
    <t>Physiotherapist</t>
  </si>
  <si>
    <t>Occ. Therapist</t>
  </si>
  <si>
    <t>Nurse</t>
  </si>
  <si>
    <t>Team Required</t>
  </si>
  <si>
    <t>Bed days saved</t>
  </si>
  <si>
    <t>Hospital</t>
  </si>
  <si>
    <t>Population (Mid 2007)</t>
  </si>
  <si>
    <t>Population over 65 (Mid 2007)</t>
  </si>
  <si>
    <t>Number Surviving First Stroke</t>
  </si>
  <si>
    <t>Yes</t>
  </si>
  <si>
    <t>No</t>
  </si>
  <si>
    <t>None</t>
  </si>
  <si>
    <t>Fringe</t>
  </si>
  <si>
    <t>Swindon</t>
  </si>
  <si>
    <t>Tameside and Glossop</t>
  </si>
  <si>
    <t>Lincolnshire Teaching</t>
  </si>
  <si>
    <t>Berkshire East</t>
  </si>
  <si>
    <t>Bed Days Saved</t>
  </si>
  <si>
    <t>Base</t>
  </si>
  <si>
    <t>Nursing Home Placements Avoided</t>
  </si>
  <si>
    <t>Annual Costs/Savings</t>
  </si>
  <si>
    <t>Cost of Team</t>
  </si>
  <si>
    <t>Saving from Reduced Nursing Home Placements</t>
  </si>
  <si>
    <t>Net Cost 1</t>
  </si>
  <si>
    <t>Net Cost 2</t>
  </si>
  <si>
    <t>Early Discharge</t>
  </si>
  <si>
    <t>High Cost Area Supplement</t>
  </si>
  <si>
    <t>WTE Per 100 patients</t>
  </si>
  <si>
    <t>Seniority of Team/Wage Assumptions</t>
  </si>
  <si>
    <t>Smallest Team</t>
  </si>
  <si>
    <t>Largest Team</t>
  </si>
  <si>
    <t>Community Rehab</t>
  </si>
  <si>
    <t>National Average</t>
  </si>
  <si>
    <t>Lower Quartile</t>
  </si>
  <si>
    <t>Suitability</t>
  </si>
  <si>
    <t>Reduction in readmission bed days first year after stroke</t>
  </si>
  <si>
    <t>Number Suitable for early discharge</t>
  </si>
  <si>
    <t>Number Suitable for community rehab</t>
  </si>
  <si>
    <t>Readmission Bed Days Saved</t>
  </si>
  <si>
    <t>Outcomes</t>
  </si>
  <si>
    <t>Physiotherpists required</t>
  </si>
  <si>
    <t>Reduction in admission rates to residential nursing care</t>
  </si>
  <si>
    <t>Number of emergency stroke admissions</t>
  </si>
  <si>
    <t>Upper Quartile</t>
  </si>
  <si>
    <t xml:space="preserve">Cost of a Week in Residential Nursing Care </t>
  </si>
  <si>
    <t>London</t>
  </si>
  <si>
    <t>Proportion of stroke patients suitable for early discharge</t>
  </si>
  <si>
    <t>Proportion of stroke patients suitable for community rehab</t>
  </si>
  <si>
    <t>Number of Strokes in People of Working Age (07-08)</t>
  </si>
  <si>
    <t>Number of Stroke Emergency Admissions (07-08)</t>
  </si>
  <si>
    <t>Speech Therapist</t>
  </si>
  <si>
    <t>Number Required to Not Enter "Support Group" to Make Team Cost Neutral</t>
  </si>
  <si>
    <t>Including Bed Day/Nursing Home Savings</t>
  </si>
  <si>
    <t>Excluding Bed Day/Nursing Home Savings</t>
  </si>
  <si>
    <t>% of All Stroke Patients of Working Age</t>
  </si>
  <si>
    <t>Excluding Bed Day Savings</t>
  </si>
  <si>
    <t>Including Bed Day Savings</t>
  </si>
  <si>
    <t>Return to Work</t>
  </si>
  <si>
    <t>All Cases</t>
  </si>
  <si>
    <t>User defined</t>
  </si>
  <si>
    <t>Estimated Annual Benefit to Exchequer of Return of One Patient to Work</t>
  </si>
  <si>
    <t>Over 65</t>
  </si>
  <si>
    <t>Under 65</t>
  </si>
  <si>
    <t>ASHTON, LEIGH AND WIGAN PCT</t>
  </si>
  <si>
    <t>BARKING AND DAGENHAM PCT</t>
  </si>
  <si>
    <t>BARNET PCT</t>
  </si>
  <si>
    <t>BARNSLEY PCT</t>
  </si>
  <si>
    <t>BASSETLAW PCT</t>
  </si>
  <si>
    <t>BATH AND NORTH EAST SOMERSET PCT</t>
  </si>
  <si>
    <t>BEDFORDSHIRE PCT</t>
  </si>
  <si>
    <t>BERKSHIRE EAST PCT</t>
  </si>
  <si>
    <t>BERKSHIRE WEST PCT</t>
  </si>
  <si>
    <t>BEXLEY CARE TRUST</t>
  </si>
  <si>
    <t>BIRMINGHAM EAST AND NORTH PCT</t>
  </si>
  <si>
    <t>BLACKBURN WITH DARWEN PCT</t>
  </si>
  <si>
    <t>BLACKPOOL PCT</t>
  </si>
  <si>
    <t>BOLTON PCT</t>
  </si>
  <si>
    <t>BOURNEMOUTH AND POOLE PCT</t>
  </si>
  <si>
    <t>BRADFORD AND AIREDALE PCT</t>
  </si>
  <si>
    <t>BRENT TEACHING PCT</t>
  </si>
  <si>
    <t>BRIGHTON AND HOVE CITY PCT</t>
  </si>
  <si>
    <t>BRISTOL PCT</t>
  </si>
  <si>
    <t>BROMLEY PCT</t>
  </si>
  <si>
    <t>BUCKINGHAMSHIRE PCT</t>
  </si>
  <si>
    <t>BURY PCT</t>
  </si>
  <si>
    <t>CALDERDALE PCT</t>
  </si>
  <si>
    <t>CAMBRIDGESHIRE PCT</t>
  </si>
  <si>
    <t>CAMDEN PCT</t>
  </si>
  <si>
    <t>CENTRAL AND EASTERN CHESHIRE PCT</t>
  </si>
  <si>
    <t>CENTRAL LANCASHIRE PCT</t>
  </si>
  <si>
    <t>CITY AND HACKNEY TEACHING PCT</t>
  </si>
  <si>
    <t>CORNWALL AND ISLES OF SCILLY PCT</t>
  </si>
  <si>
    <t>COUNTY DURHAM PCT</t>
  </si>
  <si>
    <t>COVENTRY TEACHING PCT</t>
  </si>
  <si>
    <t>CROYDON PCT</t>
  </si>
  <si>
    <t>CUMBRIA PCT</t>
  </si>
  <si>
    <t>DARLINGTON PCT</t>
  </si>
  <si>
    <t>DERBY CITY PCT</t>
  </si>
  <si>
    <t>DERBYSHIRE COUNTY PCT</t>
  </si>
  <si>
    <t>DEVON PCT</t>
  </si>
  <si>
    <t>DONCASTER PCT</t>
  </si>
  <si>
    <t>DORSET PCT</t>
  </si>
  <si>
    <t>DUDLEY PCT</t>
  </si>
  <si>
    <t>EALING PCT</t>
  </si>
  <si>
    <t>EAST AND NORTH HERTFORDSHIRE PCT</t>
  </si>
  <si>
    <t>EAST LANCASHIRE PCT</t>
  </si>
  <si>
    <t>EAST RIDING OF YORKSHIRE PCT</t>
  </si>
  <si>
    <t>EAST SUSSEX DOWNS AND WEALD PCT</t>
  </si>
  <si>
    <t>EASTERN AND COASTAL KENT PCT</t>
  </si>
  <si>
    <t>ENFIELD PCT</t>
  </si>
  <si>
    <t>GATESHEAD PCT</t>
  </si>
  <si>
    <t>GLOUCESTERSHIRE PCT</t>
  </si>
  <si>
    <t>GREAT YARMOUTH AND WAVENEY PCT</t>
  </si>
  <si>
    <t>GREENWICH TEACHING PCT</t>
  </si>
  <si>
    <t>HALTON AND ST HELENS PCT</t>
  </si>
  <si>
    <t>HAMMERSMITH AND FULHAM PCT</t>
  </si>
  <si>
    <t>HAMPSHIRE PCT</t>
  </si>
  <si>
    <t>HARINGEY TEACHING PCT</t>
  </si>
  <si>
    <t>HARROW PCT</t>
  </si>
  <si>
    <t>HARTLEPOOL PCT</t>
  </si>
  <si>
    <t>HASTINGS AND ROTHER PCT</t>
  </si>
  <si>
    <t>HAVERING PCT</t>
  </si>
  <si>
    <t>HEART OF BIRMINGHAM TEACHING PCT</t>
  </si>
  <si>
    <t>HEREFORDSHIRE PCT</t>
  </si>
  <si>
    <t>HEYWOOD, MIDDLETON AND ROCHDALE PCT</t>
  </si>
  <si>
    <t>HILLINGDON PCT</t>
  </si>
  <si>
    <t>HOUNSLOW PCT</t>
  </si>
  <si>
    <t>HULL PCT</t>
  </si>
  <si>
    <t>ISLE OF WIGHT NHS PCT</t>
  </si>
  <si>
    <t>ISLINGTON PCT</t>
  </si>
  <si>
    <t>KENSINGTON AND CHELSEA PCT</t>
  </si>
  <si>
    <t>KINGSTON PCT</t>
  </si>
  <si>
    <t>KIRKLEES PCT</t>
  </si>
  <si>
    <t>KNOWSLEY PCT</t>
  </si>
  <si>
    <t>LAMBETH PCT</t>
  </si>
  <si>
    <t>LEEDS PCT</t>
  </si>
  <si>
    <t>LEICESTER CITY PCT</t>
  </si>
  <si>
    <t>LEICESTERSHIRE COUNTY AND RUTLAND PCT</t>
  </si>
  <si>
    <t>LEWISHAM PCT</t>
  </si>
  <si>
    <t>LINCOLNSHIRE PCT</t>
  </si>
  <si>
    <t>LIVERPOOL PCT</t>
  </si>
  <si>
    <t>LUTON PCT</t>
  </si>
  <si>
    <t>MANCHESTER PCT</t>
  </si>
  <si>
    <t>MEDWAY PCT</t>
  </si>
  <si>
    <t>MID ESSEX PCT</t>
  </si>
  <si>
    <t>MIDDLESBROUGH PCT</t>
  </si>
  <si>
    <t>MILTON KEYNES PCT</t>
  </si>
  <si>
    <t>NEWCASTLE PCT</t>
  </si>
  <si>
    <t>NEWHAM PCT</t>
  </si>
  <si>
    <t>NORFOLK PCT</t>
  </si>
  <si>
    <t>NORTH EAST ESSEX PCT</t>
  </si>
  <si>
    <t>NORTH EAST LINCOLNSHIRE PCT</t>
  </si>
  <si>
    <t>NORTH LANCASHIRE PCT</t>
  </si>
  <si>
    <t>NORTH LINCOLNSHIRE PCT</t>
  </si>
  <si>
    <t>NORTH SOMERSET PCT</t>
  </si>
  <si>
    <t>NORTH STAFFORDSHIRE PCT</t>
  </si>
  <si>
    <t>NORTH TEES PCT</t>
  </si>
  <si>
    <t>NORTH TYNESIDE PCT</t>
  </si>
  <si>
    <t>NORTH YORKSHIRE AND YORK PCT</t>
  </si>
  <si>
    <t>NORTHAMPTONSHIRE PCT</t>
  </si>
  <si>
    <t>NORTHUMBERLAND CARE TRUST</t>
  </si>
  <si>
    <t>NOTTINGHAM CITY PCT</t>
  </si>
  <si>
    <t>NOTTINGHAMSHIRE COUNTY PCT</t>
  </si>
  <si>
    <t>OLDHAM PCT</t>
  </si>
  <si>
    <t>OXFORDSHIRE PCT</t>
  </si>
  <si>
    <t>PETERBOROUGH PCT</t>
  </si>
  <si>
    <t>PLYMOUTH TEACHING PCT</t>
  </si>
  <si>
    <t>PORTSMOUTH CITY TEACHING PCT</t>
  </si>
  <si>
    <t>REDBRIDGE PCT</t>
  </si>
  <si>
    <t>REDCAR AND CLEVELAND PCT</t>
  </si>
  <si>
    <t>RICHMOND AND TWICKENHAM PCT</t>
  </si>
  <si>
    <t>ROTHERHAM PCT</t>
  </si>
  <si>
    <t>SALFORD PCT</t>
  </si>
  <si>
    <t>SANDWELL PCT</t>
  </si>
  <si>
    <t>SEFTON PCT</t>
  </si>
  <si>
    <t>SHEFFIELD PCT</t>
  </si>
  <si>
    <t>SHROPSHIRE COUNTY PCT</t>
  </si>
  <si>
    <t>SOLIHUL CARE TRUST</t>
  </si>
  <si>
    <t>SOMERSET PCT</t>
  </si>
  <si>
    <t>SOUTH BIRMINGHAM PCT</t>
  </si>
  <si>
    <t>SOUTH EAST ESSEX PCT</t>
  </si>
  <si>
    <t>SOUTH GLOUCESTERSHIRE PCT</t>
  </si>
  <si>
    <t>SOUTH STAFFORDSHIRE PCT</t>
  </si>
  <si>
    <t>SOUTH TYNESIDE PCT</t>
  </si>
  <si>
    <t>SOUTH WEST ESSEX PCT</t>
  </si>
  <si>
    <t>SOUTHAMPTON CITY PCT</t>
  </si>
  <si>
    <t>SOUTHWARK PCT</t>
  </si>
  <si>
    <t>STOCKPORT PCT</t>
  </si>
  <si>
    <t>STOKE ON TRENT PCT</t>
  </si>
  <si>
    <t>SUFFOLK PCT</t>
  </si>
  <si>
    <t>SUNDERLAND TEACHING PCT</t>
  </si>
  <si>
    <t>SURREY PCT</t>
  </si>
  <si>
    <t>SUTTON AND MERTON PCT</t>
  </si>
  <si>
    <t>SWINDON PCT</t>
  </si>
  <si>
    <t>TAMESIDE AND GLOSSOP PCT</t>
  </si>
  <si>
    <t>TELFORD AND WREKIN PCT</t>
  </si>
  <si>
    <t>TORBAY CARE</t>
  </si>
  <si>
    <t>TOWER HAMLETS PCT</t>
  </si>
  <si>
    <t>TRAFFORD PCT</t>
  </si>
  <si>
    <t>WAKEFIELD DISTRICT PCT</t>
  </si>
  <si>
    <t>WALSALL TEACHING PCT</t>
  </si>
  <si>
    <t>WALTHAM FOREST PCT</t>
  </si>
  <si>
    <t>WANDSWORTH PCT</t>
  </si>
  <si>
    <t>WARRINGTON PCT</t>
  </si>
  <si>
    <t>WARWICKSHIRE PCT</t>
  </si>
  <si>
    <t>WEST ESSEX PCT</t>
  </si>
  <si>
    <t>WEST HERTFORDSHIRE PCT</t>
  </si>
  <si>
    <t>WEST KENT PCT</t>
  </si>
  <si>
    <t>WEST SUSSEX PCT</t>
  </si>
  <si>
    <t>WESTERN CHESHIRE PCT</t>
  </si>
  <si>
    <t>WESTMINSTER PCT</t>
  </si>
  <si>
    <t>WILTSHIRE PCT</t>
  </si>
  <si>
    <t>WIRRAL PCT</t>
  </si>
  <si>
    <t>WOLVERHAMPTON CITY PCT</t>
  </si>
  <si>
    <t>WORCESTERSHIRE PCT</t>
  </si>
  <si>
    <t>Saving from Tariff Cost of Further Emergency Admissions</t>
  </si>
  <si>
    <t>Tariff Cost of Extra Bed Days for Emergency Admission for Stroke</t>
  </si>
  <si>
    <t>Saving from Bed Days Saved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</si>
</sst>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809]#,##0"/>
    <numFmt numFmtId="167" formatCode="[$£-809]#,##0.00"/>
  </numFmts>
  <fonts count="13" x14ac:knownFonts="1">
    <font>
      <sz val="11"/>
      <color theme="1"/>
      <name val="Calibri"/>
      <family val="2"/>
      <scheme val="minor"/>
    </font>
    <font>
      <sz val="12"/>
      <name val="Times New Roman"/>
      <family val="1"/>
    </font>
    <font>
      <b/>
      <sz val="12"/>
      <name val="Times New Roman"/>
      <family val="1"/>
    </font>
    <font>
      <vertAlign val="superscript"/>
      <sz val="12"/>
      <name val="Times New Roman"/>
      <family val="1"/>
    </font>
    <font>
      <sz val="9"/>
      <color indexed="81"/>
      <name val="Tahoma"/>
      <family val="2"/>
    </font>
    <font>
      <b/>
      <sz val="9"/>
      <color indexed="81"/>
      <name val="Tahoma"/>
      <family val="2"/>
    </font>
    <font>
      <i/>
      <sz val="9"/>
      <color indexed="81"/>
      <name val="Tahoma"/>
      <family val="2"/>
    </font>
    <font>
      <b/>
      <i/>
      <sz val="9"/>
      <color indexed="81"/>
      <name val="Tahoma"/>
      <family val="2"/>
    </font>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i/>
      <u/>
      <sz val="11"/>
      <color theme="1"/>
      <name val="Calibri"/>
      <family val="2"/>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s>
  <cellStyleXfs count="2">
    <xf numFmtId="0" fontId="0" fillId="0" borderId="0"/>
    <xf numFmtId="9" fontId="8" fillId="0" borderId="0" applyFont="0" applyFill="0" applyBorder="0" applyAlignment="0" applyProtection="0"/>
  </cellStyleXfs>
  <cellXfs count="90">
    <xf numFmtId="0" fontId="0" fillId="0" borderId="0" xfId="0"/>
    <xf numFmtId="0" fontId="1" fillId="0" borderId="0" xfId="0" applyFont="1" applyBorder="1"/>
    <xf numFmtId="0" fontId="1" fillId="0" borderId="0" xfId="0" applyFont="1" applyBorder="1" applyAlignment="1">
      <alignment horizontal="center"/>
    </xf>
    <xf numFmtId="164" fontId="1" fillId="0" borderId="0" xfId="0" applyNumberFormat="1" applyFont="1" applyBorder="1"/>
    <xf numFmtId="164" fontId="1" fillId="0" borderId="0" xfId="0" applyNumberFormat="1" applyFont="1" applyAlignment="1"/>
    <xf numFmtId="49" fontId="1" fillId="0" borderId="0" xfId="0" applyNumberFormat="1" applyFont="1" applyBorder="1" applyAlignment="1">
      <alignment horizontal="center"/>
    </xf>
    <xf numFmtId="0" fontId="2" fillId="0" borderId="0" xfId="0" applyFont="1" applyBorder="1"/>
    <xf numFmtId="164" fontId="2" fillId="0" borderId="0" xfId="0" applyNumberFormat="1" applyFont="1" applyBorder="1"/>
    <xf numFmtId="0" fontId="1" fillId="0" borderId="0" xfId="0" applyFont="1"/>
    <xf numFmtId="164" fontId="1" fillId="0" borderId="0" xfId="0" applyNumberFormat="1" applyFont="1"/>
    <xf numFmtId="0" fontId="1" fillId="0" borderId="0" xfId="0" applyFont="1" applyFill="1" applyAlignment="1"/>
    <xf numFmtId="164" fontId="1" fillId="0" borderId="0" xfId="0" applyNumberFormat="1" applyFont="1" applyFill="1" applyAlignment="1"/>
    <xf numFmtId="49" fontId="1" fillId="0" borderId="0" xfId="0" applyNumberFormat="1" applyFont="1" applyAlignment="1">
      <alignment horizontal="center" vertical="top"/>
    </xf>
    <xf numFmtId="0" fontId="2" fillId="0" borderId="0" xfId="0" applyFont="1" applyFill="1" applyBorder="1"/>
    <xf numFmtId="164" fontId="2" fillId="0" borderId="0" xfId="0" applyNumberFormat="1" applyFont="1" applyFill="1" applyAlignment="1"/>
    <xf numFmtId="0" fontId="1" fillId="0" borderId="0" xfId="0" applyFont="1" applyFill="1" applyBorder="1"/>
    <xf numFmtId="0" fontId="1" fillId="0" borderId="0" xfId="0" applyFont="1" applyFill="1" applyBorder="1" applyAlignment="1">
      <alignment horizontal="center"/>
    </xf>
    <xf numFmtId="0" fontId="9" fillId="0" borderId="0" xfId="0" applyFont="1"/>
    <xf numFmtId="0" fontId="0" fillId="0" borderId="0" xfId="0" applyAlignment="1">
      <alignment horizontal="center" vertical="center"/>
    </xf>
    <xf numFmtId="0" fontId="0" fillId="0" borderId="0" xfId="0" applyAlignment="1">
      <alignment horizontal="left"/>
    </xf>
    <xf numFmtId="0" fontId="0" fillId="0" borderId="1" xfId="0" applyBorder="1"/>
    <xf numFmtId="0" fontId="0" fillId="0" borderId="1" xfId="0" applyBorder="1" applyAlignment="1">
      <alignment horizontal="center" vertical="center"/>
    </xf>
    <xf numFmtId="0" fontId="10" fillId="0" borderId="1" xfId="0" applyFont="1" applyBorder="1" applyAlignment="1">
      <alignment horizontal="center" vertical="center"/>
    </xf>
    <xf numFmtId="0" fontId="10" fillId="0" borderId="1" xfId="0" applyFont="1" applyBorder="1"/>
    <xf numFmtId="0" fontId="11" fillId="0" borderId="2" xfId="0" applyFont="1" applyBorder="1"/>
    <xf numFmtId="0" fontId="10" fillId="0" borderId="3" xfId="0" applyFont="1" applyBorder="1" applyAlignment="1">
      <alignment horizontal="center" vertical="center"/>
    </xf>
    <xf numFmtId="0" fontId="11" fillId="0" borderId="0" xfId="0" applyFont="1" applyFill="1" applyBorder="1"/>
    <xf numFmtId="166"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11" fillId="0" borderId="1" xfId="0" applyFont="1" applyFill="1" applyBorder="1"/>
    <xf numFmtId="2" fontId="0" fillId="0" borderId="1" xfId="0" applyNumberFormat="1" applyBorder="1" applyAlignment="1">
      <alignment horizontal="center" vertical="center"/>
    </xf>
    <xf numFmtId="0" fontId="0" fillId="0" borderId="0" xfId="0" applyAlignment="1">
      <alignment horizontal="left"/>
    </xf>
    <xf numFmtId="2" fontId="0" fillId="0" borderId="1" xfId="0" applyNumberFormat="1" applyBorder="1" applyAlignment="1">
      <alignment horizontal="center" vertical="center"/>
    </xf>
    <xf numFmtId="0" fontId="0" fillId="0" borderId="1" xfId="0" applyBorder="1" applyAlignment="1">
      <alignment horizontal="center" vertical="center"/>
    </xf>
    <xf numFmtId="166" fontId="0" fillId="0" borderId="1" xfId="0" applyNumberFormat="1" applyBorder="1" applyAlignment="1">
      <alignment horizontal="center" vertical="center"/>
    </xf>
    <xf numFmtId="166" fontId="0" fillId="0" borderId="1" xfId="0" applyNumberFormat="1" applyBorder="1" applyAlignment="1">
      <alignment horizontal="center" vertical="center"/>
    </xf>
    <xf numFmtId="0" fontId="0" fillId="0" borderId="1" xfId="0"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0" xfId="0" applyFont="1"/>
    <xf numFmtId="0" fontId="11" fillId="0" borderId="0" xfId="0" applyFont="1" applyBorder="1"/>
    <xf numFmtId="165" fontId="0" fillId="0" borderId="1" xfId="0" applyNumberFormat="1" applyBorder="1" applyAlignment="1">
      <alignment horizontal="center"/>
    </xf>
    <xf numFmtId="9"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10" fillId="0" borderId="0" xfId="0" applyFont="1"/>
    <xf numFmtId="0" fontId="9" fillId="0" borderId="1" xfId="0" applyFont="1" applyBorder="1"/>
    <xf numFmtId="0" fontId="0" fillId="0" borderId="3" xfId="0" applyBorder="1" applyAlignment="1">
      <alignment horizontal="center" vertical="center"/>
    </xf>
    <xf numFmtId="0" fontId="0" fillId="0" borderId="3" xfId="0" applyBorder="1"/>
    <xf numFmtId="166"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xf>
    <xf numFmtId="0" fontId="0" fillId="0" borderId="0" xfId="0" applyBorder="1"/>
    <xf numFmtId="9" fontId="0" fillId="0" borderId="0" xfId="0" applyNumberFormat="1" applyBorder="1" applyAlignment="1">
      <alignment horizontal="center" vertical="center"/>
    </xf>
    <xf numFmtId="1" fontId="0" fillId="0" borderId="1" xfId="0" applyNumberFormat="1" applyBorder="1" applyAlignment="1">
      <alignment horizontal="center" vertical="center"/>
    </xf>
    <xf numFmtId="166" fontId="0" fillId="0" borderId="1" xfId="0" applyNumberFormat="1" applyBorder="1" applyAlignment="1">
      <alignment horizontal="center" vertical="center"/>
    </xf>
    <xf numFmtId="166" fontId="0" fillId="0" borderId="0" xfId="0" applyNumberFormat="1" applyAlignment="1">
      <alignment horizontal="center" vertical="center"/>
    </xf>
    <xf numFmtId="1" fontId="0" fillId="0" borderId="4" xfId="0" applyNumberFormat="1" applyBorder="1" applyAlignment="1">
      <alignment horizontal="center" vertical="center"/>
    </xf>
    <xf numFmtId="0" fontId="10" fillId="0" borderId="1" xfId="0" applyFont="1" applyBorder="1" applyAlignment="1">
      <alignment horizontal="right"/>
    </xf>
    <xf numFmtId="9" fontId="8" fillId="0" borderId="4" xfId="1" applyFont="1" applyBorder="1" applyAlignment="1">
      <alignment horizontal="center" vertical="center"/>
    </xf>
    <xf numFmtId="166" fontId="0" fillId="0" borderId="0" xfId="0" applyNumberFormat="1"/>
    <xf numFmtId="166" fontId="0" fillId="0" borderId="1" xfId="0" applyNumberFormat="1" applyBorder="1" applyAlignment="1">
      <alignment horizontal="center" vertical="center"/>
    </xf>
    <xf numFmtId="0" fontId="0" fillId="0" borderId="1" xfId="0" applyBorder="1" applyAlignment="1">
      <alignment horizontal="center" vertical="center"/>
    </xf>
    <xf numFmtId="166" fontId="0" fillId="0" borderId="1" xfId="0" applyNumberFormat="1" applyBorder="1" applyAlignment="1">
      <alignment horizontal="center" vertical="center"/>
    </xf>
    <xf numFmtId="0" fontId="12" fillId="0" borderId="0" xfId="0" applyFont="1"/>
    <xf numFmtId="0" fontId="0" fillId="0" borderId="1" xfId="0" applyFont="1" applyBorder="1" applyAlignment="1">
      <alignment horizontal="center" vertical="center"/>
    </xf>
    <xf numFmtId="167"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5" xfId="0" applyBorder="1"/>
    <xf numFmtId="0" fontId="0" fillId="0" borderId="6" xfId="0" applyBorder="1"/>
    <xf numFmtId="0" fontId="0" fillId="0" borderId="5" xfId="0" applyNumberFormat="1" applyBorder="1"/>
    <xf numFmtId="0" fontId="0" fillId="0" borderId="6" xfId="0" applyNumberFormat="1" applyBorder="1"/>
    <xf numFmtId="0" fontId="0" fillId="0" borderId="7" xfId="0" applyBorder="1"/>
    <xf numFmtId="0" fontId="0" fillId="0" borderId="7" xfId="0" applyNumberFormat="1" applyBorder="1"/>
    <xf numFmtId="0" fontId="0" fillId="0" borderId="0" xfId="0" applyNumberFormat="1"/>
    <xf numFmtId="0" fontId="12" fillId="0" borderId="0" xfId="0" applyFont="1" applyBorder="1"/>
    <xf numFmtId="166" fontId="0" fillId="0" borderId="1" xfId="0" applyNumberFormat="1" applyBorder="1" applyAlignment="1">
      <alignment horizontal="center" vertical="center"/>
    </xf>
    <xf numFmtId="2" fontId="0" fillId="2" borderId="1" xfId="0" applyNumberFormat="1" applyFill="1" applyBorder="1" applyAlignment="1">
      <alignment horizontal="center" vertical="center"/>
    </xf>
    <xf numFmtId="0" fontId="0" fillId="2" borderId="1" xfId="0" applyFill="1" applyBorder="1" applyAlignment="1">
      <alignment horizontal="center" vertical="center"/>
    </xf>
    <xf numFmtId="9" fontId="0" fillId="2" borderId="1" xfId="0" applyNumberFormat="1" applyFill="1" applyBorder="1" applyAlignment="1">
      <alignment horizontal="center" vertical="center"/>
    </xf>
    <xf numFmtId="166" fontId="0" fillId="2" borderId="1" xfId="0" applyNumberFormat="1" applyFill="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Border="1" applyAlignment="1" applyProtection="1">
      <alignment horizontal="center"/>
      <protection locked="0"/>
    </xf>
    <xf numFmtId="0" fontId="0" fillId="0" borderId="1" xfId="0" applyBorder="1" applyAlignment="1">
      <alignment horizontal="center" vertical="center"/>
    </xf>
    <xf numFmtId="166" fontId="0" fillId="0" borderId="1" xfId="0" applyNumberFormat="1" applyBorder="1" applyAlignment="1">
      <alignment horizontal="center" vertical="center"/>
    </xf>
    <xf numFmtId="0" fontId="11" fillId="0" borderId="0" xfId="0" applyFont="1" applyAlignment="1">
      <alignment horizontal="left"/>
    </xf>
    <xf numFmtId="2" fontId="0" fillId="0" borderId="1" xfId="0" applyNumberFormat="1" applyBorder="1" applyAlignment="1">
      <alignment horizontal="center" vertical="center"/>
    </xf>
    <xf numFmtId="0" fontId="9" fillId="0" borderId="1" xfId="0" applyFont="1" applyBorder="1" applyAlignment="1">
      <alignment horizontal="left" vertical="center" wrapText="1"/>
    </xf>
    <xf numFmtId="0" fontId="12" fillId="0" borderId="0" xfId="0" applyFont="1" applyAlignment="1">
      <alignment horizontal="left"/>
    </xf>
    <xf numFmtId="0" fontId="11" fillId="0" borderId="0" xfId="0" applyFont="1" applyFill="1" applyBorder="1" applyAlignment="1">
      <alignment horizontal="left" vertical="top"/>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5</xdr:row>
      <xdr:rowOff>19050</xdr:rowOff>
    </xdr:from>
    <xdr:to>
      <xdr:col>16</xdr:col>
      <xdr:colOff>38100</xdr:colOff>
      <xdr:row>26</xdr:row>
      <xdr:rowOff>9525</xdr:rowOff>
    </xdr:to>
    <xdr:pic>
      <xdr:nvPicPr>
        <xdr:cNvPr id="10272" name="Picture 13"/>
        <xdr:cNvPicPr>
          <a:picLocks noChangeAspect="1" noChangeArrowheads="1"/>
        </xdr:cNvPicPr>
      </xdr:nvPicPr>
      <xdr:blipFill>
        <a:blip xmlns:r="http://schemas.openxmlformats.org/officeDocument/2006/relationships" r:embed="rId1" cstate="print"/>
        <a:srcRect/>
        <a:stretch>
          <a:fillRect/>
        </a:stretch>
      </xdr:blipFill>
      <xdr:spPr bwMode="auto">
        <a:xfrm>
          <a:off x="1257300" y="971550"/>
          <a:ext cx="8534400" cy="39909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showGridLines="0" showRowColHeaders="0" tabSelected="1" topLeftCell="A2" workbookViewId="0">
      <selection activeCell="B18" sqref="B18"/>
    </sheetView>
  </sheetViews>
  <sheetFormatPr defaultRowHeight="15" x14ac:dyDescent="0.25"/>
  <sheetData/>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G171"/>
  <sheetViews>
    <sheetView showGridLines="0" showRowColHeaders="0" workbookViewId="0">
      <selection activeCell="B2" sqref="B2"/>
    </sheetView>
  </sheetViews>
  <sheetFormatPr defaultRowHeight="15" x14ac:dyDescent="0.25"/>
  <cols>
    <col min="1" max="1" width="9.5703125" customWidth="1"/>
    <col min="2" max="2" width="48.85546875" bestFit="1" customWidth="1"/>
    <col min="3" max="3" width="9.28515625" customWidth="1"/>
    <col min="11" max="11" width="0" hidden="1" customWidth="1"/>
    <col min="12" max="12" width="33.85546875" hidden="1" customWidth="1"/>
    <col min="13" max="13" width="6" hidden="1" customWidth="1"/>
    <col min="14" max="14" width="10.7109375" hidden="1" customWidth="1"/>
    <col min="15" max="15" width="17.85546875" hidden="1" customWidth="1"/>
    <col min="16" max="16" width="38.140625" hidden="1" customWidth="1"/>
    <col min="17" max="17" width="27.85546875" hidden="1" customWidth="1"/>
    <col min="18" max="18" width="4" hidden="1" customWidth="1"/>
    <col min="19" max="19" width="13.28515625" hidden="1" customWidth="1"/>
    <col min="20" max="20" width="14.5703125" hidden="1" customWidth="1"/>
    <col min="21" max="21" width="2" hidden="1" customWidth="1"/>
    <col min="22" max="22" width="2.85546875" hidden="1" customWidth="1"/>
    <col min="23" max="24" width="2" hidden="1" customWidth="1"/>
    <col min="25" max="27" width="0" hidden="1" customWidth="1"/>
    <col min="28" max="28" width="33.85546875" hidden="1" customWidth="1"/>
    <col min="29" max="29" width="40.85546875" hidden="1" customWidth="1"/>
    <col min="30" max="30" width="7.7109375" hidden="1" customWidth="1"/>
    <col min="31" max="31" width="8.85546875" hidden="1" customWidth="1"/>
    <col min="32" max="32" width="7.85546875" hidden="1" customWidth="1"/>
    <col min="33" max="33" width="6.140625" hidden="1" customWidth="1"/>
    <col min="34" max="57" width="0" hidden="1" customWidth="1"/>
  </cols>
  <sheetData>
    <row r="1" spans="2:33" x14ac:dyDescent="0.25">
      <c r="L1" t="s">
        <v>0</v>
      </c>
      <c r="N1" t="s">
        <v>305</v>
      </c>
      <c r="O1" t="s">
        <v>306</v>
      </c>
      <c r="P1" t="s">
        <v>378</v>
      </c>
      <c r="Q1" t="s">
        <v>344</v>
      </c>
    </row>
    <row r="2" spans="2:33" ht="15.75" x14ac:dyDescent="0.25">
      <c r="B2" s="45" t="s">
        <v>0</v>
      </c>
      <c r="C2" s="81" t="s">
        <v>90</v>
      </c>
      <c r="D2" s="81"/>
      <c r="E2" s="81"/>
      <c r="F2" s="81"/>
      <c r="L2" s="1" t="s">
        <v>29</v>
      </c>
      <c r="M2" s="2" t="s">
        <v>30</v>
      </c>
      <c r="N2" s="3">
        <v>305.60000000000002</v>
      </c>
      <c r="O2" s="3">
        <v>57.1</v>
      </c>
      <c r="P2" s="3">
        <f>N2*1000*0.12%</f>
        <v>366.71999999999997</v>
      </c>
      <c r="Q2" s="3"/>
      <c r="R2" t="s">
        <v>345</v>
      </c>
      <c r="S2" t="s">
        <v>347</v>
      </c>
      <c r="U2">
        <f>IF(C6="None",1,2)</f>
        <v>1</v>
      </c>
      <c r="W2">
        <f>IF(C6="None",4,IF(C6="Inner London",1,IF(C6="Outer London",2,3)))</f>
        <v>4</v>
      </c>
      <c r="X2">
        <f>IF(C4="yes",1,2)</f>
        <v>2</v>
      </c>
      <c r="AC2" s="67" t="s">
        <v>0</v>
      </c>
      <c r="AD2" s="67" t="s">
        <v>397</v>
      </c>
      <c r="AE2" s="68" t="s">
        <v>398</v>
      </c>
    </row>
    <row r="3" spans="2:33" ht="15.75" x14ac:dyDescent="0.25">
      <c r="C3" s="50"/>
      <c r="D3" s="50"/>
      <c r="E3" s="50"/>
      <c r="F3" s="50"/>
      <c r="L3" s="1" t="s">
        <v>183</v>
      </c>
      <c r="M3" s="2" t="s">
        <v>184</v>
      </c>
      <c r="N3" s="11">
        <v>166.9</v>
      </c>
      <c r="O3" s="11">
        <v>24</v>
      </c>
      <c r="P3" s="3">
        <f>N3*1000*0.12%</f>
        <v>200.27999999999997</v>
      </c>
      <c r="Q3" s="11"/>
      <c r="R3" t="s">
        <v>346</v>
      </c>
      <c r="S3" t="s">
        <v>331</v>
      </c>
      <c r="AB3" s="1" t="s">
        <v>29</v>
      </c>
      <c r="AC3" s="67" t="s">
        <v>399</v>
      </c>
      <c r="AD3" s="69">
        <v>302</v>
      </c>
      <c r="AE3" s="70">
        <v>104</v>
      </c>
      <c r="AF3" s="3">
        <v>305.60000000000002</v>
      </c>
      <c r="AG3" s="3">
        <v>57.1</v>
      </c>
    </row>
    <row r="4" spans="2:33" ht="15.75" x14ac:dyDescent="0.25">
      <c r="B4" s="45" t="s">
        <v>1</v>
      </c>
      <c r="C4" s="82" t="s">
        <v>346</v>
      </c>
      <c r="D4" s="82"/>
      <c r="E4" s="82"/>
      <c r="F4" s="82"/>
      <c r="L4" s="1" t="s">
        <v>185</v>
      </c>
      <c r="M4" s="2" t="s">
        <v>186</v>
      </c>
      <c r="N4" s="11">
        <v>329.7</v>
      </c>
      <c r="O4" s="11">
        <v>53.6</v>
      </c>
      <c r="P4" s="3">
        <f t="shared" ref="P4:P66" si="0">N4*1000*0.12%</f>
        <v>395.64</v>
      </c>
      <c r="Q4" s="11"/>
      <c r="S4" t="s">
        <v>333</v>
      </c>
      <c r="AB4" s="1" t="s">
        <v>183</v>
      </c>
      <c r="AC4" s="71" t="s">
        <v>400</v>
      </c>
      <c r="AD4" s="72">
        <v>146</v>
      </c>
      <c r="AE4" s="73">
        <v>53</v>
      </c>
      <c r="AF4" s="11">
        <v>166.9</v>
      </c>
      <c r="AG4" s="11">
        <v>24</v>
      </c>
    </row>
    <row r="5" spans="2:33" ht="15.75" x14ac:dyDescent="0.25">
      <c r="C5" s="50"/>
      <c r="D5" s="50"/>
      <c r="E5" s="50"/>
      <c r="F5" s="50"/>
      <c r="L5" s="1" t="s">
        <v>76</v>
      </c>
      <c r="M5" s="2" t="s">
        <v>77</v>
      </c>
      <c r="N5" s="11">
        <v>224.6</v>
      </c>
      <c r="O5" s="11">
        <v>43.4</v>
      </c>
      <c r="P5" s="3">
        <f t="shared" si="0"/>
        <v>269.52</v>
      </c>
      <c r="Q5" s="11"/>
      <c r="S5" t="s">
        <v>348</v>
      </c>
      <c r="AB5" s="1" t="s">
        <v>185</v>
      </c>
      <c r="AC5" s="71" t="s">
        <v>401</v>
      </c>
      <c r="AD5" s="72">
        <v>337</v>
      </c>
      <c r="AE5" s="73">
        <v>103</v>
      </c>
      <c r="AF5" s="11">
        <v>329.7</v>
      </c>
      <c r="AG5" s="11">
        <v>53.6</v>
      </c>
    </row>
    <row r="6" spans="2:33" ht="15.75" x14ac:dyDescent="0.25">
      <c r="B6" s="45" t="s">
        <v>362</v>
      </c>
      <c r="C6" s="81" t="s">
        <v>347</v>
      </c>
      <c r="D6" s="81"/>
      <c r="E6" s="81"/>
      <c r="F6" s="81"/>
      <c r="L6" s="1" t="s">
        <v>104</v>
      </c>
      <c r="M6" s="2" t="s">
        <v>105</v>
      </c>
      <c r="N6" s="11">
        <v>111.7</v>
      </c>
      <c r="O6" s="11">
        <v>23</v>
      </c>
      <c r="P6" s="3">
        <f t="shared" si="0"/>
        <v>134.04</v>
      </c>
      <c r="Q6" s="11"/>
      <c r="AB6" s="1" t="s">
        <v>76</v>
      </c>
      <c r="AC6" s="71" t="s">
        <v>402</v>
      </c>
      <c r="AD6" s="72">
        <v>268</v>
      </c>
      <c r="AE6" s="73">
        <v>63</v>
      </c>
      <c r="AF6" s="11">
        <v>224.6</v>
      </c>
      <c r="AG6" s="11">
        <v>43.4</v>
      </c>
    </row>
    <row r="7" spans="2:33" ht="15.75" x14ac:dyDescent="0.25">
      <c r="L7" s="1" t="s">
        <v>278</v>
      </c>
      <c r="M7" s="2" t="s">
        <v>279</v>
      </c>
      <c r="N7" s="11">
        <v>178.3</v>
      </c>
      <c r="O7" s="11">
        <v>35.6</v>
      </c>
      <c r="P7" s="3">
        <f t="shared" si="0"/>
        <v>213.95999999999998</v>
      </c>
      <c r="Q7" s="11"/>
      <c r="AB7" s="1" t="s">
        <v>104</v>
      </c>
      <c r="AC7" s="71" t="s">
        <v>403</v>
      </c>
      <c r="AD7" s="72">
        <v>156</v>
      </c>
      <c r="AE7" s="73">
        <v>29</v>
      </c>
      <c r="AF7" s="11">
        <v>111.7</v>
      </c>
      <c r="AG7" s="11">
        <v>23</v>
      </c>
    </row>
    <row r="8" spans="2:33" ht="15.75" x14ac:dyDescent="0.25">
      <c r="B8" s="45" t="s">
        <v>342</v>
      </c>
      <c r="C8" s="83">
        <f>VLOOKUP(C2,$L$2:$Q$153,3,FALSE)*1000</f>
        <v>761100</v>
      </c>
      <c r="D8" s="83"/>
      <c r="E8" s="83"/>
      <c r="F8" s="83"/>
      <c r="L8" s="1" t="s">
        <v>155</v>
      </c>
      <c r="M8" s="2" t="s">
        <v>156</v>
      </c>
      <c r="N8" s="11">
        <v>407</v>
      </c>
      <c r="O8" s="11">
        <v>70.8</v>
      </c>
      <c r="P8" s="3">
        <f t="shared" si="0"/>
        <v>488.4</v>
      </c>
      <c r="Q8" s="11"/>
      <c r="AB8" s="1" t="s">
        <v>278</v>
      </c>
      <c r="AC8" s="71" t="s">
        <v>404</v>
      </c>
      <c r="AD8" s="72">
        <v>338</v>
      </c>
      <c r="AE8" s="73">
        <v>59</v>
      </c>
      <c r="AF8" s="11">
        <v>178.3</v>
      </c>
      <c r="AG8" s="11">
        <v>35.6</v>
      </c>
    </row>
    <row r="9" spans="2:33" ht="15.75" x14ac:dyDescent="0.25">
      <c r="C9" s="50"/>
      <c r="L9" s="15" t="s">
        <v>352</v>
      </c>
      <c r="M9" s="16" t="s">
        <v>261</v>
      </c>
      <c r="N9" s="11">
        <v>386.7</v>
      </c>
      <c r="O9" s="11">
        <v>58.7</v>
      </c>
      <c r="P9" s="3">
        <f t="shared" si="0"/>
        <v>464.03999999999996</v>
      </c>
      <c r="Q9" s="11"/>
      <c r="AB9" s="1" t="s">
        <v>155</v>
      </c>
      <c r="AC9" s="71" t="s">
        <v>405</v>
      </c>
      <c r="AD9" s="72">
        <v>393</v>
      </c>
      <c r="AE9" s="73">
        <v>104</v>
      </c>
      <c r="AF9" s="11">
        <v>407</v>
      </c>
      <c r="AG9" s="11">
        <v>70.8</v>
      </c>
    </row>
    <row r="10" spans="2:33" ht="15.75" x14ac:dyDescent="0.25">
      <c r="B10" s="45" t="s">
        <v>343</v>
      </c>
      <c r="C10" s="83">
        <f>VLOOKUP(C2,$L$2:$Q$153,4,FALSE)*1000</f>
        <v>128500</v>
      </c>
      <c r="D10" s="83"/>
      <c r="E10" s="83"/>
      <c r="F10" s="83"/>
      <c r="L10" s="15" t="s">
        <v>262</v>
      </c>
      <c r="M10" s="16" t="s">
        <v>263</v>
      </c>
      <c r="N10" s="11">
        <v>451</v>
      </c>
      <c r="O10" s="11">
        <v>71.7</v>
      </c>
      <c r="P10" s="3">
        <f t="shared" si="0"/>
        <v>541.19999999999993</v>
      </c>
      <c r="Q10" s="11"/>
      <c r="AB10" s="15" t="s">
        <v>352</v>
      </c>
      <c r="AC10" s="71" t="s">
        <v>406</v>
      </c>
      <c r="AD10" s="72">
        <v>356</v>
      </c>
      <c r="AE10" s="73">
        <v>107</v>
      </c>
      <c r="AF10" s="11">
        <v>386.7</v>
      </c>
      <c r="AG10" s="11">
        <v>58.7</v>
      </c>
    </row>
    <row r="11" spans="2:33" ht="15.75" x14ac:dyDescent="0.25">
      <c r="C11" s="50"/>
      <c r="L11" s="1" t="s">
        <v>187</v>
      </c>
      <c r="M11" s="2" t="s">
        <v>188</v>
      </c>
      <c r="N11" s="11">
        <v>222.1</v>
      </c>
      <c r="O11" s="11">
        <v>41.8</v>
      </c>
      <c r="P11" s="3">
        <f t="shared" si="0"/>
        <v>266.52</v>
      </c>
      <c r="Q11" s="11"/>
      <c r="AB11" s="15" t="s">
        <v>262</v>
      </c>
      <c r="AC11" s="71" t="s">
        <v>407</v>
      </c>
      <c r="AD11" s="72">
        <v>413</v>
      </c>
      <c r="AE11" s="73">
        <v>93</v>
      </c>
      <c r="AF11" s="11">
        <v>451</v>
      </c>
      <c r="AG11" s="11">
        <v>71.7</v>
      </c>
    </row>
    <row r="12" spans="2:33" ht="15.75" x14ac:dyDescent="0.25">
      <c r="B12" s="45" t="s">
        <v>385</v>
      </c>
      <c r="C12" s="80">
        <f>VLOOKUP(C2,$AB$3:$AE$154,3,FALSE)+VLOOKUP(C2,$AB$3:$AE$154,4,FALSE)</f>
        <v>856</v>
      </c>
      <c r="D12" s="80"/>
      <c r="E12" s="80"/>
      <c r="F12" s="80"/>
      <c r="L12" s="1" t="s">
        <v>121</v>
      </c>
      <c r="M12" s="2" t="s">
        <v>122</v>
      </c>
      <c r="N12" s="11">
        <v>406.7</v>
      </c>
      <c r="O12" s="11">
        <v>69.2</v>
      </c>
      <c r="P12" s="3">
        <f t="shared" si="0"/>
        <v>488.03999999999996</v>
      </c>
      <c r="Q12" s="11"/>
      <c r="AB12" s="1" t="s">
        <v>187</v>
      </c>
      <c r="AC12" s="71" t="s">
        <v>408</v>
      </c>
      <c r="AD12" s="72">
        <v>252</v>
      </c>
      <c r="AE12" s="73">
        <v>72</v>
      </c>
      <c r="AF12" s="11">
        <v>222.1</v>
      </c>
      <c r="AG12" s="11">
        <v>41.8</v>
      </c>
    </row>
    <row r="13" spans="2:33" ht="15.75" x14ac:dyDescent="0.25">
      <c r="L13" s="1" t="s">
        <v>31</v>
      </c>
      <c r="M13" s="2" t="s">
        <v>32</v>
      </c>
      <c r="N13" s="4">
        <v>140.9</v>
      </c>
      <c r="O13" s="4">
        <v>21.2</v>
      </c>
      <c r="P13" s="3">
        <f t="shared" si="0"/>
        <v>169.07999999999998</v>
      </c>
      <c r="Q13" s="11"/>
      <c r="AB13" s="1" t="s">
        <v>121</v>
      </c>
      <c r="AC13" s="71" t="s">
        <v>409</v>
      </c>
      <c r="AD13" s="72">
        <v>486</v>
      </c>
      <c r="AE13" s="73">
        <v>143</v>
      </c>
      <c r="AF13" s="11">
        <v>406.7</v>
      </c>
      <c r="AG13" s="11">
        <v>69.2</v>
      </c>
    </row>
    <row r="14" spans="2:33" ht="15.75" x14ac:dyDescent="0.25">
      <c r="B14" s="45" t="s">
        <v>384</v>
      </c>
      <c r="C14" s="80">
        <f>VLOOKUP(C2,$AB$3:$AE$154,4,FALSE)</f>
        <v>195</v>
      </c>
      <c r="D14" s="80"/>
      <c r="E14" s="80"/>
      <c r="F14" s="80"/>
      <c r="L14" s="1" t="s">
        <v>33</v>
      </c>
      <c r="M14" s="2" t="s">
        <v>34</v>
      </c>
      <c r="N14" s="3">
        <v>142.5</v>
      </c>
      <c r="O14" s="3">
        <v>31.4</v>
      </c>
      <c r="P14" s="3">
        <f t="shared" si="0"/>
        <v>170.99999999999997</v>
      </c>
      <c r="Q14" s="11"/>
      <c r="AB14" s="1" t="s">
        <v>31</v>
      </c>
      <c r="AC14" s="71" t="s">
        <v>410</v>
      </c>
      <c r="AD14" s="72">
        <v>119</v>
      </c>
      <c r="AE14" s="73">
        <v>45</v>
      </c>
      <c r="AF14" s="4">
        <v>140.9</v>
      </c>
      <c r="AG14" s="4">
        <v>21.2</v>
      </c>
    </row>
    <row r="15" spans="2:33" ht="15.75" x14ac:dyDescent="0.25">
      <c r="L15" s="1" t="s">
        <v>35</v>
      </c>
      <c r="M15" s="2" t="s">
        <v>36</v>
      </c>
      <c r="N15" s="3">
        <v>262.3</v>
      </c>
      <c r="O15" s="3">
        <v>47.6</v>
      </c>
      <c r="P15" s="3">
        <f t="shared" si="0"/>
        <v>314.76</v>
      </c>
      <c r="Q15" s="11"/>
      <c r="AB15" s="1" t="s">
        <v>33</v>
      </c>
      <c r="AC15" s="71" t="s">
        <v>411</v>
      </c>
      <c r="AD15" s="72">
        <v>128</v>
      </c>
      <c r="AE15" s="73">
        <v>46</v>
      </c>
      <c r="AF15" s="3">
        <v>142.5</v>
      </c>
      <c r="AG15" s="3">
        <v>31.4</v>
      </c>
    </row>
    <row r="16" spans="2:33" ht="15.75" x14ac:dyDescent="0.25">
      <c r="L16" s="1" t="s">
        <v>280</v>
      </c>
      <c r="M16" s="2" t="s">
        <v>281</v>
      </c>
      <c r="N16" s="11">
        <v>301.2</v>
      </c>
      <c r="O16" s="11">
        <v>69.599999999999994</v>
      </c>
      <c r="P16" s="3">
        <f t="shared" si="0"/>
        <v>361.43999999999994</v>
      </c>
      <c r="Q16" s="4"/>
      <c r="AB16" s="1" t="s">
        <v>35</v>
      </c>
      <c r="AC16" s="71" t="s">
        <v>412</v>
      </c>
      <c r="AD16" s="72">
        <v>270</v>
      </c>
      <c r="AE16" s="73">
        <v>91</v>
      </c>
      <c r="AF16" s="3">
        <v>262.3</v>
      </c>
      <c r="AG16" s="3">
        <v>47.6</v>
      </c>
    </row>
    <row r="17" spans="12:33" ht="15.75" x14ac:dyDescent="0.25">
      <c r="L17" s="1" t="s">
        <v>78</v>
      </c>
      <c r="M17" s="2" t="s">
        <v>79</v>
      </c>
      <c r="N17" s="11">
        <v>497.4</v>
      </c>
      <c r="O17" s="11">
        <v>79.3</v>
      </c>
      <c r="P17" s="3">
        <f t="shared" si="0"/>
        <v>596.88</v>
      </c>
      <c r="Q17" s="11"/>
      <c r="AB17" s="1" t="s">
        <v>280</v>
      </c>
      <c r="AC17" s="71" t="s">
        <v>413</v>
      </c>
      <c r="AD17" s="72">
        <v>469</v>
      </c>
      <c r="AE17" s="73">
        <v>89</v>
      </c>
      <c r="AF17" s="11">
        <v>301.2</v>
      </c>
      <c r="AG17" s="11">
        <v>69.599999999999994</v>
      </c>
    </row>
    <row r="18" spans="12:33" ht="15.75" x14ac:dyDescent="0.25">
      <c r="L18" s="1" t="s">
        <v>189</v>
      </c>
      <c r="M18" s="2" t="s">
        <v>190</v>
      </c>
      <c r="N18" s="11">
        <v>270</v>
      </c>
      <c r="O18" s="11">
        <v>37.6</v>
      </c>
      <c r="P18" s="3">
        <f t="shared" si="0"/>
        <v>324</v>
      </c>
      <c r="Q18" s="11"/>
      <c r="AB18" s="1" t="s">
        <v>78</v>
      </c>
      <c r="AC18" s="71" t="s">
        <v>414</v>
      </c>
      <c r="AD18" s="72">
        <v>569</v>
      </c>
      <c r="AE18" s="73">
        <v>158</v>
      </c>
      <c r="AF18" s="11">
        <v>497.4</v>
      </c>
      <c r="AG18" s="11">
        <v>79.3</v>
      </c>
    </row>
    <row r="19" spans="12:33" ht="15.75" x14ac:dyDescent="0.25">
      <c r="L19" s="1" t="s">
        <v>245</v>
      </c>
      <c r="M19" s="2" t="s">
        <v>246</v>
      </c>
      <c r="N19" s="11">
        <v>253.5</v>
      </c>
      <c r="O19" s="11">
        <v>42.5</v>
      </c>
      <c r="P19" s="3">
        <f t="shared" si="0"/>
        <v>304.2</v>
      </c>
      <c r="Q19" s="3"/>
      <c r="AB19" s="1" t="s">
        <v>189</v>
      </c>
      <c r="AC19" s="71" t="s">
        <v>415</v>
      </c>
      <c r="AD19" s="72">
        <v>274</v>
      </c>
      <c r="AE19" s="73">
        <v>115</v>
      </c>
      <c r="AF19" s="11">
        <v>270</v>
      </c>
      <c r="AG19" s="11">
        <v>37.6</v>
      </c>
    </row>
    <row r="20" spans="12:33" ht="15.75" x14ac:dyDescent="0.25">
      <c r="L20" s="1" t="s">
        <v>282</v>
      </c>
      <c r="M20" s="2" t="s">
        <v>283</v>
      </c>
      <c r="N20" s="11">
        <v>416.4</v>
      </c>
      <c r="O20" s="11">
        <v>63.8</v>
      </c>
      <c r="P20" s="3">
        <f t="shared" si="0"/>
        <v>499.67999999999995</v>
      </c>
      <c r="Q20" s="4"/>
      <c r="AB20" s="1" t="s">
        <v>245</v>
      </c>
      <c r="AC20" s="71" t="s">
        <v>416</v>
      </c>
      <c r="AD20" s="72">
        <v>318</v>
      </c>
      <c r="AE20" s="73">
        <v>111</v>
      </c>
      <c r="AF20" s="11">
        <v>253.5</v>
      </c>
      <c r="AG20" s="11">
        <v>42.5</v>
      </c>
    </row>
    <row r="21" spans="12:33" ht="15.75" x14ac:dyDescent="0.25">
      <c r="L21" s="1" t="s">
        <v>191</v>
      </c>
      <c r="M21" s="2" t="s">
        <v>192</v>
      </c>
      <c r="N21" s="11">
        <v>300.7</v>
      </c>
      <c r="O21" s="11">
        <v>58.7</v>
      </c>
      <c r="P21" s="3">
        <f t="shared" si="0"/>
        <v>360.84</v>
      </c>
      <c r="Q21" s="3"/>
      <c r="AB21" s="1" t="s">
        <v>282</v>
      </c>
      <c r="AC21" s="71" t="s">
        <v>417</v>
      </c>
      <c r="AD21" s="72">
        <v>579</v>
      </c>
      <c r="AE21" s="73">
        <v>168</v>
      </c>
      <c r="AF21" s="11">
        <v>416.4</v>
      </c>
      <c r="AG21" s="11">
        <v>63.8</v>
      </c>
    </row>
    <row r="22" spans="12:33" ht="15.75" x14ac:dyDescent="0.25">
      <c r="L22" s="15" t="s">
        <v>264</v>
      </c>
      <c r="M22" s="16" t="s">
        <v>265</v>
      </c>
      <c r="N22" s="11">
        <v>504.2</v>
      </c>
      <c r="O22" s="11">
        <v>93.1</v>
      </c>
      <c r="P22" s="3">
        <f t="shared" si="0"/>
        <v>605.04</v>
      </c>
      <c r="Q22" s="11"/>
      <c r="AB22" s="1" t="s">
        <v>191</v>
      </c>
      <c r="AC22" s="71" t="s">
        <v>418</v>
      </c>
      <c r="AD22" s="72">
        <v>366</v>
      </c>
      <c r="AE22" s="73">
        <v>76</v>
      </c>
      <c r="AF22" s="11">
        <v>300.7</v>
      </c>
      <c r="AG22" s="11">
        <v>58.7</v>
      </c>
    </row>
    <row r="23" spans="12:33" ht="15.75" x14ac:dyDescent="0.25">
      <c r="L23" s="1" t="s">
        <v>37</v>
      </c>
      <c r="M23" s="2" t="s">
        <v>38</v>
      </c>
      <c r="N23" s="4">
        <v>183.3</v>
      </c>
      <c r="O23" s="4">
        <v>33.4</v>
      </c>
      <c r="P23" s="3">
        <f t="shared" si="0"/>
        <v>219.95999999999998</v>
      </c>
      <c r="Q23" s="11"/>
      <c r="AB23" s="15" t="s">
        <v>264</v>
      </c>
      <c r="AC23" s="71" t="s">
        <v>419</v>
      </c>
      <c r="AD23" s="72">
        <v>499</v>
      </c>
      <c r="AE23" s="73">
        <v>111</v>
      </c>
      <c r="AF23" s="11">
        <v>504.2</v>
      </c>
      <c r="AG23" s="11">
        <v>93.1</v>
      </c>
    </row>
    <row r="24" spans="12:33" ht="15.75" x14ac:dyDescent="0.25">
      <c r="L24" s="1" t="s">
        <v>80</v>
      </c>
      <c r="M24" s="2" t="s">
        <v>81</v>
      </c>
      <c r="N24" s="11">
        <v>200.1</v>
      </c>
      <c r="O24" s="11">
        <v>36.4</v>
      </c>
      <c r="P24" s="3">
        <f t="shared" si="0"/>
        <v>240.11999999999998</v>
      </c>
      <c r="Q24" s="11"/>
      <c r="AB24" s="1" t="s">
        <v>37</v>
      </c>
      <c r="AC24" s="71" t="s">
        <v>420</v>
      </c>
      <c r="AD24" s="72">
        <v>203</v>
      </c>
      <c r="AE24" s="73">
        <v>56</v>
      </c>
      <c r="AF24" s="4">
        <v>183.3</v>
      </c>
      <c r="AG24" s="4">
        <v>33.4</v>
      </c>
    </row>
    <row r="25" spans="12:33" ht="15.75" x14ac:dyDescent="0.25">
      <c r="L25" s="1" t="s">
        <v>157</v>
      </c>
      <c r="M25" s="2" t="s">
        <v>158</v>
      </c>
      <c r="N25" s="11">
        <v>597.4</v>
      </c>
      <c r="O25" s="11">
        <v>108.6</v>
      </c>
      <c r="P25" s="3">
        <f t="shared" si="0"/>
        <v>716.87999999999988</v>
      </c>
      <c r="Q25" s="11"/>
      <c r="AB25" s="1" t="s">
        <v>80</v>
      </c>
      <c r="AC25" s="71" t="s">
        <v>421</v>
      </c>
      <c r="AD25" s="72">
        <v>205</v>
      </c>
      <c r="AE25" s="73">
        <v>77</v>
      </c>
      <c r="AF25" s="11">
        <v>200.1</v>
      </c>
      <c r="AG25" s="11">
        <v>36.4</v>
      </c>
    </row>
    <row r="26" spans="12:33" ht="15.75" x14ac:dyDescent="0.25">
      <c r="L26" s="1" t="s">
        <v>193</v>
      </c>
      <c r="M26" s="2" t="s">
        <v>194</v>
      </c>
      <c r="N26" s="11">
        <v>231.9</v>
      </c>
      <c r="O26" s="11">
        <v>25.2</v>
      </c>
      <c r="P26" s="3">
        <f t="shared" si="0"/>
        <v>278.27999999999997</v>
      </c>
      <c r="Q26" s="11"/>
      <c r="AB26" s="1" t="s">
        <v>157</v>
      </c>
      <c r="AC26" s="71" t="s">
        <v>422</v>
      </c>
      <c r="AD26" s="72">
        <v>601</v>
      </c>
      <c r="AE26" s="73">
        <v>142</v>
      </c>
      <c r="AF26" s="11">
        <v>597.4</v>
      </c>
      <c r="AG26" s="11">
        <v>108.6</v>
      </c>
    </row>
    <row r="27" spans="12:33" ht="15.75" x14ac:dyDescent="0.25">
      <c r="L27" s="1" t="s">
        <v>39</v>
      </c>
      <c r="M27" s="2" t="s">
        <v>40</v>
      </c>
      <c r="N27" s="3">
        <v>453</v>
      </c>
      <c r="O27" s="3">
        <v>93.6</v>
      </c>
      <c r="P27" s="3">
        <f t="shared" si="0"/>
        <v>543.59999999999991</v>
      </c>
      <c r="Q27" s="11"/>
      <c r="AB27" s="1" t="s">
        <v>193</v>
      </c>
      <c r="AC27" s="71" t="s">
        <v>423</v>
      </c>
      <c r="AD27" s="72">
        <v>158</v>
      </c>
      <c r="AE27" s="73">
        <v>55</v>
      </c>
      <c r="AF27" s="11">
        <v>231.9</v>
      </c>
      <c r="AG27" s="11">
        <v>25.2</v>
      </c>
    </row>
    <row r="28" spans="12:33" ht="15.75" x14ac:dyDescent="0.25">
      <c r="L28" s="1" t="s">
        <v>41</v>
      </c>
      <c r="M28" s="2" t="s">
        <v>42</v>
      </c>
      <c r="N28" s="3">
        <v>452.5</v>
      </c>
      <c r="O28" s="3">
        <v>85.9</v>
      </c>
      <c r="P28" s="3">
        <f t="shared" si="0"/>
        <v>543</v>
      </c>
      <c r="Q28" s="11"/>
      <c r="AB28" s="1" t="s">
        <v>39</v>
      </c>
      <c r="AC28" s="71" t="s">
        <v>424</v>
      </c>
      <c r="AD28" s="72">
        <v>477</v>
      </c>
      <c r="AE28" s="73">
        <v>122</v>
      </c>
      <c r="AF28" s="3">
        <v>453</v>
      </c>
      <c r="AG28" s="3">
        <v>93.6</v>
      </c>
    </row>
    <row r="29" spans="12:33" ht="15.75" x14ac:dyDescent="0.25">
      <c r="L29" s="1" t="s">
        <v>195</v>
      </c>
      <c r="M29" s="2" t="s">
        <v>196</v>
      </c>
      <c r="N29" s="11">
        <v>217.6</v>
      </c>
      <c r="O29" s="11">
        <v>22.8</v>
      </c>
      <c r="P29" s="3">
        <f t="shared" si="0"/>
        <v>261.12</v>
      </c>
      <c r="Q29" s="11"/>
      <c r="AB29" s="1" t="s">
        <v>41</v>
      </c>
      <c r="AC29" s="71" t="s">
        <v>425</v>
      </c>
      <c r="AD29" s="72">
        <v>544</v>
      </c>
      <c r="AE29" s="73">
        <v>170</v>
      </c>
      <c r="AF29" s="3">
        <v>452.5</v>
      </c>
      <c r="AG29" s="3">
        <v>85.9</v>
      </c>
    </row>
    <row r="30" spans="12:33" ht="15.75" x14ac:dyDescent="0.25">
      <c r="L30" s="1" t="s">
        <v>284</v>
      </c>
      <c r="M30" s="2" t="s">
        <v>285</v>
      </c>
      <c r="N30" s="11">
        <v>531.70000000000005</v>
      </c>
      <c r="O30" s="11">
        <v>129.1</v>
      </c>
      <c r="P30" s="3">
        <f t="shared" si="0"/>
        <v>638.04</v>
      </c>
      <c r="Q30" s="11"/>
      <c r="AB30" s="1" t="s">
        <v>195</v>
      </c>
      <c r="AC30" s="71" t="s">
        <v>426</v>
      </c>
      <c r="AD30" s="72">
        <v>156</v>
      </c>
      <c r="AE30" s="73">
        <v>94</v>
      </c>
      <c r="AF30" s="11">
        <v>217.6</v>
      </c>
      <c r="AG30" s="11">
        <v>22.8</v>
      </c>
    </row>
    <row r="31" spans="12:33" ht="15.75" x14ac:dyDescent="0.25">
      <c r="L31" s="1" t="s">
        <v>5</v>
      </c>
      <c r="M31" s="2" t="s">
        <v>6</v>
      </c>
      <c r="N31" s="3">
        <v>504.9</v>
      </c>
      <c r="O31" s="3">
        <v>102.3</v>
      </c>
      <c r="P31" s="3">
        <f t="shared" si="0"/>
        <v>605.88</v>
      </c>
      <c r="Q31" s="11"/>
      <c r="AB31" s="1" t="s">
        <v>284</v>
      </c>
      <c r="AC31" s="71" t="s">
        <v>427</v>
      </c>
      <c r="AD31" s="72">
        <v>817</v>
      </c>
      <c r="AE31" s="73">
        <v>176</v>
      </c>
      <c r="AF31" s="11">
        <v>531.70000000000005</v>
      </c>
      <c r="AG31" s="11">
        <v>129.1</v>
      </c>
    </row>
    <row r="32" spans="12:33" ht="15.75" x14ac:dyDescent="0.25">
      <c r="L32" s="1" t="s">
        <v>123</v>
      </c>
      <c r="M32" s="2" t="s">
        <v>124</v>
      </c>
      <c r="N32" s="11">
        <v>306.7</v>
      </c>
      <c r="O32" s="11">
        <v>53</v>
      </c>
      <c r="P32" s="3">
        <f t="shared" si="0"/>
        <v>368.03999999999996</v>
      </c>
      <c r="Q32" s="11"/>
      <c r="AB32" s="1" t="s">
        <v>5</v>
      </c>
      <c r="AC32" s="71" t="s">
        <v>428</v>
      </c>
      <c r="AD32" s="72">
        <v>578</v>
      </c>
      <c r="AE32" s="73">
        <v>164</v>
      </c>
      <c r="AF32" s="3">
        <v>504.9</v>
      </c>
      <c r="AG32" s="3">
        <v>102.3</v>
      </c>
    </row>
    <row r="33" spans="12:33" ht="15.75" x14ac:dyDescent="0.25">
      <c r="L33" s="1" t="s">
        <v>197</v>
      </c>
      <c r="M33" s="2" t="s">
        <v>198</v>
      </c>
      <c r="N33" s="11">
        <v>339.5</v>
      </c>
      <c r="O33" s="11">
        <v>51.6</v>
      </c>
      <c r="P33" s="3">
        <f t="shared" si="0"/>
        <v>407.4</v>
      </c>
      <c r="Q33" s="3"/>
      <c r="AB33" s="1" t="s">
        <v>123</v>
      </c>
      <c r="AC33" s="71" t="s">
        <v>429</v>
      </c>
      <c r="AD33" s="72">
        <v>320</v>
      </c>
      <c r="AE33" s="73">
        <v>89</v>
      </c>
      <c r="AF33" s="11">
        <v>306.7</v>
      </c>
      <c r="AG33" s="11">
        <v>53</v>
      </c>
    </row>
    <row r="34" spans="12:33" ht="15.75" x14ac:dyDescent="0.25">
      <c r="L34" s="1" t="s">
        <v>43</v>
      </c>
      <c r="M34" s="2" t="s">
        <v>44</v>
      </c>
      <c r="N34" s="3">
        <v>496.9</v>
      </c>
      <c r="O34" s="3">
        <v>113.2</v>
      </c>
      <c r="P34" s="3">
        <f t="shared" si="0"/>
        <v>596.28</v>
      </c>
      <c r="Q34" s="3"/>
      <c r="AB34" s="1" t="s">
        <v>197</v>
      </c>
      <c r="AC34" s="71" t="s">
        <v>430</v>
      </c>
      <c r="AD34" s="72">
        <v>281</v>
      </c>
      <c r="AE34" s="73">
        <v>110</v>
      </c>
      <c r="AF34" s="11">
        <v>339.5</v>
      </c>
      <c r="AG34" s="11">
        <v>51.6</v>
      </c>
    </row>
    <row r="35" spans="12:33" ht="15.75" x14ac:dyDescent="0.25">
      <c r="L35" s="1" t="s">
        <v>7</v>
      </c>
      <c r="M35" s="2" t="s">
        <v>8</v>
      </c>
      <c r="N35" s="4">
        <v>100</v>
      </c>
      <c r="O35" s="4">
        <v>20.100000000000001</v>
      </c>
      <c r="P35" s="3">
        <f t="shared" si="0"/>
        <v>119.99999999999999</v>
      </c>
      <c r="Q35" s="3"/>
      <c r="AB35" s="1" t="s">
        <v>43</v>
      </c>
      <c r="AC35" s="71" t="s">
        <v>431</v>
      </c>
      <c r="AD35" s="72">
        <v>722</v>
      </c>
      <c r="AE35" s="73">
        <v>167</v>
      </c>
      <c r="AF35" s="3">
        <v>496.9</v>
      </c>
      <c r="AG35" s="3">
        <v>113.2</v>
      </c>
    </row>
    <row r="36" spans="12:33" ht="15.75" x14ac:dyDescent="0.25">
      <c r="L36" s="1" t="s">
        <v>106</v>
      </c>
      <c r="M36" s="2" t="s">
        <v>107</v>
      </c>
      <c r="N36" s="11">
        <v>237.9</v>
      </c>
      <c r="O36" s="11">
        <v>43.3</v>
      </c>
      <c r="P36" s="3">
        <f t="shared" si="0"/>
        <v>285.47999999999996</v>
      </c>
      <c r="Q36" s="11"/>
      <c r="AB36" s="1" t="s">
        <v>7</v>
      </c>
      <c r="AC36" s="71" t="s">
        <v>432</v>
      </c>
      <c r="AD36" s="72">
        <v>142</v>
      </c>
      <c r="AE36" s="73">
        <v>42</v>
      </c>
      <c r="AF36" s="4">
        <v>100</v>
      </c>
      <c r="AG36" s="4">
        <v>20.100000000000001</v>
      </c>
    </row>
    <row r="37" spans="12:33" ht="15.75" x14ac:dyDescent="0.25">
      <c r="L37" s="1" t="s">
        <v>108</v>
      </c>
      <c r="M37" s="2" t="s">
        <v>109</v>
      </c>
      <c r="N37" s="11">
        <v>724.1</v>
      </c>
      <c r="O37" s="11">
        <v>150.9</v>
      </c>
      <c r="P37" s="3">
        <f t="shared" si="0"/>
        <v>868.92</v>
      </c>
      <c r="Q37" s="11"/>
      <c r="AB37" s="1" t="s">
        <v>106</v>
      </c>
      <c r="AC37" s="71" t="s">
        <v>433</v>
      </c>
      <c r="AD37" s="72">
        <v>280</v>
      </c>
      <c r="AE37" s="73">
        <v>82</v>
      </c>
      <c r="AF37" s="11">
        <v>237.9</v>
      </c>
      <c r="AG37" s="11">
        <v>43.3</v>
      </c>
    </row>
    <row r="38" spans="12:33" ht="15.75" x14ac:dyDescent="0.25">
      <c r="L38" s="1" t="s">
        <v>286</v>
      </c>
      <c r="M38" s="2" t="s">
        <v>287</v>
      </c>
      <c r="N38" s="11">
        <v>750.1</v>
      </c>
      <c r="O38" s="11">
        <v>185</v>
      </c>
      <c r="P38" s="3">
        <f t="shared" si="0"/>
        <v>900.11999999999989</v>
      </c>
      <c r="Q38" s="11"/>
      <c r="AB38" s="1" t="s">
        <v>108</v>
      </c>
      <c r="AC38" s="71" t="s">
        <v>434</v>
      </c>
      <c r="AD38" s="72">
        <v>780</v>
      </c>
      <c r="AE38" s="73">
        <v>229</v>
      </c>
      <c r="AF38" s="11">
        <v>724.1</v>
      </c>
      <c r="AG38" s="11">
        <v>150.9</v>
      </c>
    </row>
    <row r="39" spans="12:33" ht="15.75" x14ac:dyDescent="0.25">
      <c r="L39" s="1" t="s">
        <v>82</v>
      </c>
      <c r="M39" s="2" t="s">
        <v>83</v>
      </c>
      <c r="N39" s="11">
        <v>291.10000000000002</v>
      </c>
      <c r="O39" s="11">
        <v>57.5</v>
      </c>
      <c r="P39" s="3">
        <f t="shared" si="0"/>
        <v>349.32</v>
      </c>
      <c r="Q39" s="11"/>
      <c r="AB39" s="1" t="s">
        <v>286</v>
      </c>
      <c r="AC39" s="71" t="s">
        <v>435</v>
      </c>
      <c r="AD39" s="72">
        <v>1204</v>
      </c>
      <c r="AE39" s="73">
        <v>242</v>
      </c>
      <c r="AF39" s="11">
        <v>750.1</v>
      </c>
      <c r="AG39" s="11">
        <v>185</v>
      </c>
    </row>
    <row r="40" spans="12:33" ht="15.75" x14ac:dyDescent="0.25">
      <c r="L40" s="1" t="s">
        <v>288</v>
      </c>
      <c r="M40" s="2" t="s">
        <v>289</v>
      </c>
      <c r="N40" s="11">
        <v>406.8</v>
      </c>
      <c r="O40" s="11">
        <v>114</v>
      </c>
      <c r="P40" s="3">
        <f t="shared" si="0"/>
        <v>488.15999999999997</v>
      </c>
      <c r="Q40" s="11"/>
      <c r="AB40" s="1" t="s">
        <v>82</v>
      </c>
      <c r="AC40" s="71" t="s">
        <v>436</v>
      </c>
      <c r="AD40" s="72">
        <v>391</v>
      </c>
      <c r="AE40" s="73">
        <v>112</v>
      </c>
      <c r="AF40" s="11">
        <v>291.10000000000002</v>
      </c>
      <c r="AG40" s="11">
        <v>57.5</v>
      </c>
    </row>
    <row r="41" spans="12:33" ht="15.75" x14ac:dyDescent="0.25">
      <c r="L41" s="1" t="s">
        <v>125</v>
      </c>
      <c r="M41" s="2" t="s">
        <v>126</v>
      </c>
      <c r="N41" s="11">
        <v>305.39999999999998</v>
      </c>
      <c r="O41" s="11">
        <v>63.5</v>
      </c>
      <c r="P41" s="3">
        <f t="shared" si="0"/>
        <v>366.47999999999996</v>
      </c>
      <c r="Q41" s="11"/>
      <c r="AB41" s="1" t="s">
        <v>288</v>
      </c>
      <c r="AC41" s="71" t="s">
        <v>437</v>
      </c>
      <c r="AD41" s="72">
        <v>607</v>
      </c>
      <c r="AE41" s="73">
        <v>107</v>
      </c>
      <c r="AF41" s="11">
        <v>406.8</v>
      </c>
      <c r="AG41" s="11">
        <v>114</v>
      </c>
    </row>
    <row r="42" spans="12:33" ht="15.75" x14ac:dyDescent="0.25">
      <c r="L42" s="1" t="s">
        <v>199</v>
      </c>
      <c r="M42" s="2" t="s">
        <v>200</v>
      </c>
      <c r="N42" s="11">
        <v>305.3</v>
      </c>
      <c r="O42" s="11">
        <v>40.9</v>
      </c>
      <c r="P42" s="3">
        <f t="shared" si="0"/>
        <v>366.35999999999996</v>
      </c>
      <c r="Q42" s="4"/>
      <c r="AB42" s="1" t="s">
        <v>125</v>
      </c>
      <c r="AC42" s="71" t="s">
        <v>438</v>
      </c>
      <c r="AD42" s="72">
        <v>312</v>
      </c>
      <c r="AE42" s="73">
        <v>94</v>
      </c>
      <c r="AF42" s="11">
        <v>305.39999999999998</v>
      </c>
      <c r="AG42" s="11">
        <v>63.5</v>
      </c>
    </row>
    <row r="43" spans="12:33" ht="15.75" x14ac:dyDescent="0.25">
      <c r="L43" s="1" t="s">
        <v>159</v>
      </c>
      <c r="M43" s="2" t="s">
        <v>160</v>
      </c>
      <c r="N43" s="11">
        <v>532.1</v>
      </c>
      <c r="O43" s="11">
        <v>95.9</v>
      </c>
      <c r="P43" s="3">
        <f t="shared" si="0"/>
        <v>638.52</v>
      </c>
      <c r="Q43" s="11"/>
      <c r="AB43" s="1" t="s">
        <v>199</v>
      </c>
      <c r="AC43" s="71" t="s">
        <v>439</v>
      </c>
      <c r="AD43" s="72">
        <v>296</v>
      </c>
      <c r="AE43" s="73">
        <v>124</v>
      </c>
      <c r="AF43" s="11">
        <v>305.3</v>
      </c>
      <c r="AG43" s="11">
        <v>40.9</v>
      </c>
    </row>
    <row r="44" spans="12:33" ht="15.75" x14ac:dyDescent="0.25">
      <c r="L44" s="1" t="s">
        <v>45</v>
      </c>
      <c r="M44" s="2" t="s">
        <v>46</v>
      </c>
      <c r="N44" s="9">
        <v>384.8</v>
      </c>
      <c r="O44" s="9">
        <v>71.8</v>
      </c>
      <c r="P44" s="3">
        <f t="shared" si="0"/>
        <v>461.75999999999993</v>
      </c>
      <c r="Q44" s="4"/>
      <c r="AB44" s="1" t="s">
        <v>159</v>
      </c>
      <c r="AC44" s="71" t="s">
        <v>440</v>
      </c>
      <c r="AD44" s="72">
        <v>412</v>
      </c>
      <c r="AE44" s="73">
        <v>104</v>
      </c>
      <c r="AF44" s="11">
        <v>532.1</v>
      </c>
      <c r="AG44" s="11">
        <v>95.9</v>
      </c>
    </row>
    <row r="45" spans="12:33" ht="15.75" x14ac:dyDescent="0.25">
      <c r="L45" s="1" t="s">
        <v>84</v>
      </c>
      <c r="M45" s="2" t="s">
        <v>85</v>
      </c>
      <c r="N45" s="11">
        <v>333</v>
      </c>
      <c r="O45" s="11">
        <v>77.8</v>
      </c>
      <c r="P45" s="3">
        <f t="shared" si="0"/>
        <v>399.59999999999997</v>
      </c>
      <c r="Q45" s="11"/>
      <c r="AB45" s="1" t="s">
        <v>45</v>
      </c>
      <c r="AC45" s="71" t="s">
        <v>441</v>
      </c>
      <c r="AD45" s="72">
        <v>463</v>
      </c>
      <c r="AE45" s="73">
        <v>139</v>
      </c>
      <c r="AF45" s="9">
        <v>384.8</v>
      </c>
      <c r="AG45" s="9">
        <v>71.8</v>
      </c>
    </row>
    <row r="46" spans="12:33" ht="15.75" x14ac:dyDescent="0.25">
      <c r="L46" s="1" t="s">
        <v>247</v>
      </c>
      <c r="M46" s="2" t="s">
        <v>248</v>
      </c>
      <c r="N46" s="11">
        <v>331.7</v>
      </c>
      <c r="O46" s="11">
        <v>86.9</v>
      </c>
      <c r="P46" s="3">
        <f t="shared" si="0"/>
        <v>398.03999999999996</v>
      </c>
      <c r="Q46" s="11"/>
      <c r="AB46" s="1" t="s">
        <v>84</v>
      </c>
      <c r="AC46" s="71" t="s">
        <v>442</v>
      </c>
      <c r="AD46" s="72">
        <v>255</v>
      </c>
      <c r="AE46" s="73">
        <v>54</v>
      </c>
      <c r="AF46" s="11">
        <v>333</v>
      </c>
      <c r="AG46" s="11">
        <v>77.8</v>
      </c>
    </row>
    <row r="47" spans="12:33" ht="15.75" x14ac:dyDescent="0.25">
      <c r="L47" s="1" t="s">
        <v>249</v>
      </c>
      <c r="M47" s="2" t="s">
        <v>250</v>
      </c>
      <c r="N47" s="11">
        <v>726.7</v>
      </c>
      <c r="O47" s="11">
        <v>158.80000000000001</v>
      </c>
      <c r="P47" s="3">
        <f t="shared" si="0"/>
        <v>872.04</v>
      </c>
      <c r="Q47" s="11"/>
      <c r="AB47" s="1" t="s">
        <v>247</v>
      </c>
      <c r="AC47" s="71" t="s">
        <v>443</v>
      </c>
      <c r="AD47" s="72">
        <v>483</v>
      </c>
      <c r="AE47" s="73">
        <v>110</v>
      </c>
      <c r="AF47" s="11">
        <v>331.7</v>
      </c>
      <c r="AG47" s="11">
        <v>86.9</v>
      </c>
    </row>
    <row r="48" spans="12:33" ht="15.75" x14ac:dyDescent="0.25">
      <c r="L48" s="1" t="s">
        <v>201</v>
      </c>
      <c r="M48" s="2" t="s">
        <v>202</v>
      </c>
      <c r="N48" s="11">
        <v>285.10000000000002</v>
      </c>
      <c r="O48" s="11">
        <v>44.4</v>
      </c>
      <c r="P48" s="3">
        <f t="shared" si="0"/>
        <v>342.11999999999995</v>
      </c>
      <c r="Q48" s="11"/>
      <c r="AB48" s="1" t="s">
        <v>249</v>
      </c>
      <c r="AC48" s="71" t="s">
        <v>444</v>
      </c>
      <c r="AD48" s="72">
        <v>936</v>
      </c>
      <c r="AE48" s="73">
        <v>272</v>
      </c>
      <c r="AF48" s="11">
        <v>726.7</v>
      </c>
      <c r="AG48" s="11">
        <v>158.80000000000001</v>
      </c>
    </row>
    <row r="49" spans="12:33" ht="15.75" x14ac:dyDescent="0.25">
      <c r="L49" s="1" t="s">
        <v>9</v>
      </c>
      <c r="M49" s="2" t="s">
        <v>10</v>
      </c>
      <c r="N49" s="3">
        <v>190.5</v>
      </c>
      <c r="O49" s="3">
        <v>39.299999999999997</v>
      </c>
      <c r="P49" s="3">
        <f t="shared" si="0"/>
        <v>228.59999999999997</v>
      </c>
      <c r="Q49" s="11"/>
      <c r="AB49" s="1" t="s">
        <v>201</v>
      </c>
      <c r="AC49" s="71" t="s">
        <v>445</v>
      </c>
      <c r="AD49" s="72">
        <v>287</v>
      </c>
      <c r="AE49" s="73">
        <v>93</v>
      </c>
      <c r="AF49" s="11">
        <v>285.10000000000002</v>
      </c>
      <c r="AG49" s="11">
        <v>44.4</v>
      </c>
    </row>
    <row r="50" spans="12:33" ht="15.75" x14ac:dyDescent="0.25">
      <c r="L50" s="1" t="s">
        <v>290</v>
      </c>
      <c r="M50" s="2" t="s">
        <v>291</v>
      </c>
      <c r="N50" s="11">
        <v>582.6</v>
      </c>
      <c r="O50" s="11">
        <v>122.9</v>
      </c>
      <c r="P50" s="3">
        <f t="shared" si="0"/>
        <v>699.11999999999989</v>
      </c>
      <c r="Q50" s="11"/>
      <c r="AB50" s="1" t="s">
        <v>9</v>
      </c>
      <c r="AC50" s="71" t="s">
        <v>446</v>
      </c>
      <c r="AD50" s="72">
        <v>284</v>
      </c>
      <c r="AE50" s="73">
        <v>74</v>
      </c>
      <c r="AF50" s="3">
        <v>190.5</v>
      </c>
      <c r="AG50" s="3">
        <v>39.299999999999997</v>
      </c>
    </row>
    <row r="51" spans="12:33" ht="15.75" x14ac:dyDescent="0.25">
      <c r="L51" s="1" t="s">
        <v>161</v>
      </c>
      <c r="M51" s="2" t="s">
        <v>162</v>
      </c>
      <c r="N51" s="11">
        <v>211.3</v>
      </c>
      <c r="O51" s="11">
        <v>53.3</v>
      </c>
      <c r="P51" s="3">
        <f t="shared" si="0"/>
        <v>253.55999999999997</v>
      </c>
      <c r="Q51" s="3"/>
      <c r="AB51" s="1" t="s">
        <v>290</v>
      </c>
      <c r="AC51" s="71" t="s">
        <v>447</v>
      </c>
      <c r="AD51" s="72">
        <v>770</v>
      </c>
      <c r="AE51" s="73">
        <v>171</v>
      </c>
      <c r="AF51" s="11">
        <v>582.6</v>
      </c>
      <c r="AG51" s="11">
        <v>122.9</v>
      </c>
    </row>
    <row r="52" spans="12:33" ht="15.75" x14ac:dyDescent="0.25">
      <c r="L52" s="1" t="s">
        <v>203</v>
      </c>
      <c r="M52" s="2" t="s">
        <v>204</v>
      </c>
      <c r="N52" s="11">
        <v>223.1</v>
      </c>
      <c r="O52" s="11">
        <v>30.5</v>
      </c>
      <c r="P52" s="3">
        <f t="shared" si="0"/>
        <v>267.71999999999997</v>
      </c>
      <c r="Q52" s="4"/>
      <c r="AB52" s="1" t="s">
        <v>161</v>
      </c>
      <c r="AC52" s="71" t="s">
        <v>448</v>
      </c>
      <c r="AD52" s="72">
        <v>363</v>
      </c>
      <c r="AE52" s="73">
        <v>89</v>
      </c>
      <c r="AF52" s="11">
        <v>211.3</v>
      </c>
      <c r="AG52" s="11">
        <v>53.3</v>
      </c>
    </row>
    <row r="53" spans="12:33" ht="15.75" x14ac:dyDescent="0.25">
      <c r="L53" s="1" t="s">
        <v>47</v>
      </c>
      <c r="M53" s="2" t="s">
        <v>48</v>
      </c>
      <c r="N53" s="3">
        <v>297</v>
      </c>
      <c r="O53" s="3">
        <v>54.9</v>
      </c>
      <c r="P53" s="3">
        <f t="shared" si="0"/>
        <v>356.4</v>
      </c>
      <c r="Q53" s="3"/>
      <c r="AB53" s="1" t="s">
        <v>203</v>
      </c>
      <c r="AC53" s="71" t="s">
        <v>449</v>
      </c>
      <c r="AD53" s="72">
        <v>218</v>
      </c>
      <c r="AE53" s="73">
        <v>68</v>
      </c>
      <c r="AF53" s="11">
        <v>223.1</v>
      </c>
      <c r="AG53" s="11">
        <v>30.5</v>
      </c>
    </row>
    <row r="54" spans="12:33" ht="15.75" x14ac:dyDescent="0.25">
      <c r="L54" s="1" t="s">
        <v>205</v>
      </c>
      <c r="M54" s="2" t="s">
        <v>206</v>
      </c>
      <c r="N54" s="11">
        <v>172.5</v>
      </c>
      <c r="O54" s="11">
        <v>20.7</v>
      </c>
      <c r="P54" s="3">
        <f t="shared" si="0"/>
        <v>206.99999999999997</v>
      </c>
      <c r="Q54" s="4"/>
      <c r="AB54" s="1" t="s">
        <v>47</v>
      </c>
      <c r="AC54" s="71" t="s">
        <v>450</v>
      </c>
      <c r="AD54" s="72">
        <v>343</v>
      </c>
      <c r="AE54" s="73">
        <v>110</v>
      </c>
      <c r="AF54" s="3">
        <v>297</v>
      </c>
      <c r="AG54" s="3">
        <v>54.9</v>
      </c>
    </row>
    <row r="55" spans="12:33" ht="15.75" x14ac:dyDescent="0.25">
      <c r="L55" s="15" t="s">
        <v>266</v>
      </c>
      <c r="M55" s="16" t="s">
        <v>267</v>
      </c>
      <c r="N55" s="11">
        <v>1276.8</v>
      </c>
      <c r="O55" s="11">
        <v>262.39999999999998</v>
      </c>
      <c r="P55" s="3">
        <f t="shared" si="0"/>
        <v>1532.1599999999999</v>
      </c>
      <c r="Q55" s="11"/>
      <c r="AB55" s="1" t="s">
        <v>205</v>
      </c>
      <c r="AC55" s="71" t="s">
        <v>451</v>
      </c>
      <c r="AD55" s="72">
        <v>107</v>
      </c>
      <c r="AE55" s="73">
        <v>55</v>
      </c>
      <c r="AF55" s="11">
        <v>172.5</v>
      </c>
      <c r="AG55" s="11">
        <v>20.7</v>
      </c>
    </row>
    <row r="56" spans="12:33" ht="15.75" x14ac:dyDescent="0.25">
      <c r="L56" s="1" t="s">
        <v>207</v>
      </c>
      <c r="M56" s="2" t="s">
        <v>208</v>
      </c>
      <c r="N56" s="11">
        <v>224.7</v>
      </c>
      <c r="O56" s="11">
        <v>25</v>
      </c>
      <c r="P56" s="3">
        <f t="shared" si="0"/>
        <v>269.64</v>
      </c>
      <c r="Q56" s="11"/>
      <c r="AB56" s="15" t="s">
        <v>266</v>
      </c>
      <c r="AC56" s="71" t="s">
        <v>452</v>
      </c>
      <c r="AD56" s="72">
        <v>1321</v>
      </c>
      <c r="AE56" s="73">
        <v>382</v>
      </c>
      <c r="AF56" s="11">
        <v>1276.8</v>
      </c>
      <c r="AG56" s="11">
        <v>262.39999999999998</v>
      </c>
    </row>
    <row r="57" spans="12:33" ht="15.75" x14ac:dyDescent="0.25">
      <c r="L57" s="1" t="s">
        <v>209</v>
      </c>
      <c r="M57" s="2" t="s">
        <v>210</v>
      </c>
      <c r="N57" s="11">
        <v>214.6</v>
      </c>
      <c r="O57" s="11">
        <v>36</v>
      </c>
      <c r="P57" s="3">
        <f t="shared" si="0"/>
        <v>257.52</v>
      </c>
      <c r="Q57" s="11"/>
      <c r="AB57" s="1" t="s">
        <v>207</v>
      </c>
      <c r="AC57" s="71" t="s">
        <v>453</v>
      </c>
      <c r="AD57" s="72">
        <v>214</v>
      </c>
      <c r="AE57" s="73">
        <v>91</v>
      </c>
      <c r="AF57" s="11">
        <v>224.7</v>
      </c>
      <c r="AG57" s="11">
        <v>25</v>
      </c>
    </row>
    <row r="58" spans="12:33" ht="15.75" x14ac:dyDescent="0.25">
      <c r="L58" s="1" t="s">
        <v>11</v>
      </c>
      <c r="M58" s="2" t="s">
        <v>12</v>
      </c>
      <c r="N58" s="3">
        <v>91.4</v>
      </c>
      <c r="O58" s="3">
        <v>17.3</v>
      </c>
      <c r="P58" s="3">
        <f t="shared" si="0"/>
        <v>109.67999999999999</v>
      </c>
      <c r="Q58" s="11"/>
      <c r="AB58" s="1" t="s">
        <v>209</v>
      </c>
      <c r="AC58" s="71" t="s">
        <v>454</v>
      </c>
      <c r="AD58" s="72">
        <v>201</v>
      </c>
      <c r="AE58" s="73">
        <v>49</v>
      </c>
      <c r="AF58" s="11">
        <v>214.6</v>
      </c>
      <c r="AG58" s="11">
        <v>36</v>
      </c>
    </row>
    <row r="59" spans="12:33" ht="15.75" x14ac:dyDescent="0.25">
      <c r="L59" s="1" t="s">
        <v>251</v>
      </c>
      <c r="M59" s="2" t="s">
        <v>252</v>
      </c>
      <c r="N59" s="11">
        <v>176.6</v>
      </c>
      <c r="O59" s="11">
        <v>46.7</v>
      </c>
      <c r="P59" s="3">
        <f t="shared" si="0"/>
        <v>211.92</v>
      </c>
      <c r="Q59" s="11"/>
      <c r="AB59" s="1" t="s">
        <v>11</v>
      </c>
      <c r="AC59" s="71" t="s">
        <v>455</v>
      </c>
      <c r="AD59" s="72">
        <v>114</v>
      </c>
      <c r="AE59" s="73">
        <v>55</v>
      </c>
      <c r="AF59" s="3">
        <v>91.4</v>
      </c>
      <c r="AG59" s="3">
        <v>17.3</v>
      </c>
    </row>
    <row r="60" spans="12:33" ht="15.75" x14ac:dyDescent="0.25">
      <c r="L60" s="1" t="s">
        <v>211</v>
      </c>
      <c r="M60" s="2" t="s">
        <v>212</v>
      </c>
      <c r="N60" s="11">
        <v>228.4</v>
      </c>
      <c r="O60" s="11">
        <v>47.1</v>
      </c>
      <c r="P60" s="3">
        <f t="shared" si="0"/>
        <v>274.08</v>
      </c>
      <c r="Q60" s="11"/>
      <c r="AB60" s="1" t="s">
        <v>251</v>
      </c>
      <c r="AC60" s="71" t="s">
        <v>456</v>
      </c>
      <c r="AD60" s="72">
        <v>425</v>
      </c>
      <c r="AE60" s="73">
        <v>99</v>
      </c>
      <c r="AF60" s="11">
        <v>176.6</v>
      </c>
      <c r="AG60" s="11">
        <v>46.7</v>
      </c>
    </row>
    <row r="61" spans="12:33" ht="15.75" x14ac:dyDescent="0.25">
      <c r="L61" s="1" t="s">
        <v>127</v>
      </c>
      <c r="M61" s="2" t="s">
        <v>128</v>
      </c>
      <c r="N61" s="11">
        <v>263.3</v>
      </c>
      <c r="O61" s="11">
        <v>30.7</v>
      </c>
      <c r="P61" s="3">
        <f t="shared" si="0"/>
        <v>315.95999999999998</v>
      </c>
      <c r="Q61" s="11"/>
      <c r="AB61" s="1" t="s">
        <v>211</v>
      </c>
      <c r="AC61" s="71" t="s">
        <v>457</v>
      </c>
      <c r="AD61" s="72">
        <v>301</v>
      </c>
      <c r="AE61" s="73">
        <v>75</v>
      </c>
      <c r="AF61" s="11">
        <v>228.4</v>
      </c>
      <c r="AG61" s="11">
        <v>47.1</v>
      </c>
    </row>
    <row r="62" spans="12:33" ht="15.75" x14ac:dyDescent="0.25">
      <c r="L62" s="1" t="s">
        <v>129</v>
      </c>
      <c r="M62" s="2" t="s">
        <v>130</v>
      </c>
      <c r="N62" s="11">
        <v>178.4</v>
      </c>
      <c r="O62" s="11">
        <v>43.5</v>
      </c>
      <c r="P62" s="3">
        <f t="shared" si="0"/>
        <v>214.07999999999998</v>
      </c>
      <c r="Q62" s="11"/>
      <c r="AB62" s="1" t="s">
        <v>127</v>
      </c>
      <c r="AC62" s="71" t="s">
        <v>458</v>
      </c>
      <c r="AD62" s="72">
        <v>231</v>
      </c>
      <c r="AE62" s="73">
        <v>94</v>
      </c>
      <c r="AF62" s="11">
        <v>263.3</v>
      </c>
      <c r="AG62" s="11">
        <v>30.7</v>
      </c>
    </row>
    <row r="63" spans="12:33" ht="15.75" x14ac:dyDescent="0.25">
      <c r="L63" s="1" t="s">
        <v>49</v>
      </c>
      <c r="M63" s="2" t="s">
        <v>50</v>
      </c>
      <c r="N63" s="9">
        <v>206.1</v>
      </c>
      <c r="O63" s="9">
        <v>35.200000000000003</v>
      </c>
      <c r="P63" s="3">
        <f t="shared" si="0"/>
        <v>247.31999999999996</v>
      </c>
      <c r="Q63" s="4"/>
      <c r="AB63" s="1" t="s">
        <v>129</v>
      </c>
      <c r="AC63" s="71" t="s">
        <v>459</v>
      </c>
      <c r="AD63" s="72">
        <v>275</v>
      </c>
      <c r="AE63" s="73">
        <v>50</v>
      </c>
      <c r="AF63" s="11">
        <v>178.4</v>
      </c>
      <c r="AG63" s="11">
        <v>43.5</v>
      </c>
    </row>
    <row r="64" spans="12:33" ht="15.75" x14ac:dyDescent="0.25">
      <c r="L64" s="1" t="s">
        <v>213</v>
      </c>
      <c r="M64" s="2" t="s">
        <v>214</v>
      </c>
      <c r="N64" s="11">
        <v>250.7</v>
      </c>
      <c r="O64" s="11">
        <v>39.5</v>
      </c>
      <c r="P64" s="3">
        <f t="shared" si="0"/>
        <v>300.83999999999997</v>
      </c>
      <c r="Q64" s="11"/>
      <c r="AB64" s="1" t="s">
        <v>49</v>
      </c>
      <c r="AC64" s="71" t="s">
        <v>460</v>
      </c>
      <c r="AD64" s="72">
        <v>236</v>
      </c>
      <c r="AE64" s="73">
        <v>97</v>
      </c>
      <c r="AF64" s="9">
        <v>206.1</v>
      </c>
      <c r="AG64" s="9">
        <v>35.200000000000003</v>
      </c>
    </row>
    <row r="65" spans="12:33" ht="15.75" x14ac:dyDescent="0.25">
      <c r="L65" s="1" t="s">
        <v>215</v>
      </c>
      <c r="M65" s="2" t="s">
        <v>216</v>
      </c>
      <c r="N65" s="11">
        <v>220.6</v>
      </c>
      <c r="O65" s="11">
        <v>28.5</v>
      </c>
      <c r="P65" s="3">
        <f t="shared" si="0"/>
        <v>264.71999999999997</v>
      </c>
      <c r="Q65" s="11"/>
      <c r="AB65" s="1" t="s">
        <v>213</v>
      </c>
      <c r="AC65" s="71" t="s">
        <v>461</v>
      </c>
      <c r="AD65" s="72">
        <v>243</v>
      </c>
      <c r="AE65" s="73">
        <v>72</v>
      </c>
      <c r="AF65" s="11">
        <v>250.7</v>
      </c>
      <c r="AG65" s="11">
        <v>39.5</v>
      </c>
    </row>
    <row r="66" spans="12:33" ht="15.75" x14ac:dyDescent="0.25">
      <c r="L66" s="1" t="s">
        <v>86</v>
      </c>
      <c r="M66" s="2" t="s">
        <v>87</v>
      </c>
      <c r="N66" s="11">
        <v>257</v>
      </c>
      <c r="O66" s="11">
        <v>42.4</v>
      </c>
      <c r="P66" s="3">
        <f t="shared" si="0"/>
        <v>308.39999999999998</v>
      </c>
      <c r="Q66" s="11"/>
      <c r="AB66" s="1" t="s">
        <v>215</v>
      </c>
      <c r="AC66" s="71" t="s">
        <v>462</v>
      </c>
      <c r="AD66" s="72">
        <v>97</v>
      </c>
      <c r="AE66" s="73">
        <v>49</v>
      </c>
      <c r="AF66" s="11">
        <v>220.6</v>
      </c>
      <c r="AG66" s="11">
        <v>28.5</v>
      </c>
    </row>
    <row r="67" spans="12:33" ht="15.75" x14ac:dyDescent="0.25">
      <c r="L67" s="15" t="s">
        <v>268</v>
      </c>
      <c r="M67" s="16" t="s">
        <v>269</v>
      </c>
      <c r="N67" s="11">
        <v>139.5</v>
      </c>
      <c r="O67" s="11">
        <v>37.200000000000003</v>
      </c>
      <c r="P67" s="3">
        <f t="shared" ref="P67:P130" si="1">N67*1000*0.12%</f>
        <v>167.39999999999998</v>
      </c>
      <c r="Q67" s="11"/>
      <c r="AB67" s="1" t="s">
        <v>86</v>
      </c>
      <c r="AC67" s="71" t="s">
        <v>463</v>
      </c>
      <c r="AD67" s="72">
        <v>190</v>
      </c>
      <c r="AE67" s="73">
        <v>49</v>
      </c>
      <c r="AF67" s="11">
        <v>257</v>
      </c>
      <c r="AG67" s="11">
        <v>42.4</v>
      </c>
    </row>
    <row r="68" spans="12:33" ht="15.75" x14ac:dyDescent="0.25">
      <c r="L68" s="1" t="s">
        <v>217</v>
      </c>
      <c r="M68" s="2" t="s">
        <v>218</v>
      </c>
      <c r="N68" s="11">
        <v>187.8</v>
      </c>
      <c r="O68" s="11">
        <v>20.3</v>
      </c>
      <c r="P68" s="3">
        <f t="shared" si="1"/>
        <v>225.35999999999999</v>
      </c>
      <c r="Q68" s="11"/>
      <c r="AB68" s="15" t="s">
        <v>268</v>
      </c>
      <c r="AC68" s="71" t="s">
        <v>464</v>
      </c>
      <c r="AD68" s="72">
        <v>219</v>
      </c>
      <c r="AE68" s="73">
        <v>60</v>
      </c>
      <c r="AF68" s="11">
        <v>139.5</v>
      </c>
      <c r="AG68" s="11">
        <v>37.200000000000003</v>
      </c>
    </row>
    <row r="69" spans="12:33" ht="15.75" x14ac:dyDescent="0.25">
      <c r="L69" s="1" t="s">
        <v>219</v>
      </c>
      <c r="M69" s="2" t="s">
        <v>220</v>
      </c>
      <c r="N69" s="11">
        <v>178.6</v>
      </c>
      <c r="O69" s="11">
        <v>27.3</v>
      </c>
      <c r="P69" s="3">
        <f t="shared" si="1"/>
        <v>214.32</v>
      </c>
      <c r="Q69" s="11"/>
      <c r="AB69" s="1" t="s">
        <v>217</v>
      </c>
      <c r="AC69" s="71" t="s">
        <v>465</v>
      </c>
      <c r="AD69" s="72">
        <v>162</v>
      </c>
      <c r="AE69" s="73">
        <v>74</v>
      </c>
      <c r="AF69" s="11">
        <v>187.8</v>
      </c>
      <c r="AG69" s="11">
        <v>20.3</v>
      </c>
    </row>
    <row r="70" spans="12:33" ht="15.75" x14ac:dyDescent="0.25">
      <c r="L70" s="1" t="s">
        <v>221</v>
      </c>
      <c r="M70" s="2" t="s">
        <v>222</v>
      </c>
      <c r="N70" s="11">
        <v>157.9</v>
      </c>
      <c r="O70" s="11">
        <v>22.7</v>
      </c>
      <c r="P70" s="3">
        <f t="shared" si="1"/>
        <v>189.48</v>
      </c>
      <c r="Q70" s="11"/>
      <c r="AB70" s="1" t="s">
        <v>219</v>
      </c>
      <c r="AC70" s="71" t="s">
        <v>466</v>
      </c>
      <c r="AD70" s="72">
        <v>108</v>
      </c>
      <c r="AE70" s="73">
        <v>56</v>
      </c>
      <c r="AF70" s="11">
        <v>178.6</v>
      </c>
      <c r="AG70" s="11">
        <v>27.3</v>
      </c>
    </row>
    <row r="71" spans="12:33" ht="15.75" x14ac:dyDescent="0.25">
      <c r="L71" s="1" t="s">
        <v>88</v>
      </c>
      <c r="M71" s="2" t="s">
        <v>89</v>
      </c>
      <c r="N71" s="11">
        <v>401</v>
      </c>
      <c r="O71" s="11">
        <v>69.599999999999994</v>
      </c>
      <c r="P71" s="3">
        <f t="shared" si="1"/>
        <v>481.19999999999993</v>
      </c>
      <c r="Q71" s="11"/>
      <c r="AB71" s="1" t="s">
        <v>221</v>
      </c>
      <c r="AC71" s="71" t="s">
        <v>467</v>
      </c>
      <c r="AD71" s="72">
        <v>185</v>
      </c>
      <c r="AE71" s="73">
        <v>52</v>
      </c>
      <c r="AF71" s="11">
        <v>157.9</v>
      </c>
      <c r="AG71" s="11">
        <v>22.7</v>
      </c>
    </row>
    <row r="72" spans="12:33" ht="15.75" x14ac:dyDescent="0.25">
      <c r="L72" s="1" t="s">
        <v>51</v>
      </c>
      <c r="M72" s="2" t="s">
        <v>52</v>
      </c>
      <c r="N72" s="11">
        <v>150.9</v>
      </c>
      <c r="O72" s="11">
        <v>26.8</v>
      </c>
      <c r="P72" s="3">
        <f t="shared" si="1"/>
        <v>181.07999999999998</v>
      </c>
      <c r="Q72" s="11"/>
      <c r="AB72" s="1" t="s">
        <v>88</v>
      </c>
      <c r="AC72" s="71" t="s">
        <v>468</v>
      </c>
      <c r="AD72" s="72">
        <v>389</v>
      </c>
      <c r="AE72" s="73">
        <v>118</v>
      </c>
      <c r="AF72" s="11">
        <v>401</v>
      </c>
      <c r="AG72" s="11">
        <v>69.599999999999994</v>
      </c>
    </row>
    <row r="73" spans="12:33" ht="15.75" x14ac:dyDescent="0.25">
      <c r="L73" s="1" t="s">
        <v>223</v>
      </c>
      <c r="M73" s="2" t="s">
        <v>224</v>
      </c>
      <c r="N73" s="11">
        <v>273.2</v>
      </c>
      <c r="O73" s="11">
        <v>27.5</v>
      </c>
      <c r="P73" s="3">
        <f t="shared" si="1"/>
        <v>327.84</v>
      </c>
      <c r="Q73" s="11"/>
      <c r="AB73" s="1" t="s">
        <v>51</v>
      </c>
      <c r="AC73" s="71" t="s">
        <v>469</v>
      </c>
      <c r="AD73" s="72">
        <v>165</v>
      </c>
      <c r="AE73" s="73">
        <v>68</v>
      </c>
      <c r="AF73" s="11">
        <v>150.9</v>
      </c>
      <c r="AG73" s="11">
        <v>26.8</v>
      </c>
    </row>
    <row r="74" spans="12:33" ht="15.75" x14ac:dyDescent="0.25">
      <c r="L74" s="1" t="s">
        <v>90</v>
      </c>
      <c r="M74" s="2" t="s">
        <v>91</v>
      </c>
      <c r="N74" s="11">
        <v>761.1</v>
      </c>
      <c r="O74" s="11">
        <v>128.5</v>
      </c>
      <c r="P74" s="3">
        <f t="shared" si="1"/>
        <v>913.31999999999994</v>
      </c>
      <c r="Q74" s="11"/>
      <c r="AB74" s="1" t="s">
        <v>223</v>
      </c>
      <c r="AC74" s="71" t="s">
        <v>470</v>
      </c>
      <c r="AD74" s="72">
        <v>189</v>
      </c>
      <c r="AE74" s="73">
        <v>109</v>
      </c>
      <c r="AF74" s="11">
        <v>273.2</v>
      </c>
      <c r="AG74" s="11">
        <v>27.5</v>
      </c>
    </row>
    <row r="75" spans="12:33" ht="15.75" x14ac:dyDescent="0.25">
      <c r="L75" s="1" t="s">
        <v>110</v>
      </c>
      <c r="M75" s="2" t="s">
        <v>111</v>
      </c>
      <c r="N75" s="11">
        <v>292.60000000000002</v>
      </c>
      <c r="O75" s="11">
        <v>41.3</v>
      </c>
      <c r="P75" s="3">
        <f t="shared" si="1"/>
        <v>351.11999999999995</v>
      </c>
      <c r="Q75" s="11"/>
      <c r="AB75" s="1" t="s">
        <v>90</v>
      </c>
      <c r="AC75" s="71" t="s">
        <v>471</v>
      </c>
      <c r="AD75" s="72">
        <v>661</v>
      </c>
      <c r="AE75" s="73">
        <v>195</v>
      </c>
      <c r="AF75" s="11">
        <v>761.1</v>
      </c>
      <c r="AG75" s="11">
        <v>128.5</v>
      </c>
    </row>
    <row r="76" spans="12:33" ht="15.75" x14ac:dyDescent="0.25">
      <c r="L76" s="1" t="s">
        <v>112</v>
      </c>
      <c r="M76" s="2" t="s">
        <v>113</v>
      </c>
      <c r="N76" s="11">
        <v>679.4</v>
      </c>
      <c r="O76" s="11">
        <v>134.30000000000001</v>
      </c>
      <c r="P76" s="3">
        <f t="shared" si="1"/>
        <v>815.28</v>
      </c>
      <c r="Q76" s="11"/>
      <c r="AB76" s="1" t="s">
        <v>110</v>
      </c>
      <c r="AC76" s="71" t="s">
        <v>472</v>
      </c>
      <c r="AD76" s="72">
        <v>241</v>
      </c>
      <c r="AE76" s="73">
        <v>110</v>
      </c>
      <c r="AF76" s="11">
        <v>292.60000000000002</v>
      </c>
      <c r="AG76" s="11">
        <v>41.3</v>
      </c>
    </row>
    <row r="77" spans="12:33" ht="15.75" x14ac:dyDescent="0.25">
      <c r="L77" s="1" t="s">
        <v>225</v>
      </c>
      <c r="M77" s="2" t="s">
        <v>226</v>
      </c>
      <c r="N77" s="11">
        <v>258.5</v>
      </c>
      <c r="O77" s="11">
        <v>29.8</v>
      </c>
      <c r="P77" s="3">
        <f t="shared" si="1"/>
        <v>310.2</v>
      </c>
      <c r="Q77" s="11"/>
      <c r="AB77" s="1" t="s">
        <v>112</v>
      </c>
      <c r="AC77" s="71" t="s">
        <v>473</v>
      </c>
      <c r="AD77" s="72">
        <v>615</v>
      </c>
      <c r="AE77" s="73">
        <v>190</v>
      </c>
      <c r="AF77" s="11">
        <v>679.4</v>
      </c>
      <c r="AG77" s="11">
        <v>134.30000000000001</v>
      </c>
    </row>
    <row r="78" spans="12:33" ht="15.75" x14ac:dyDescent="0.25">
      <c r="L78" s="15" t="s">
        <v>351</v>
      </c>
      <c r="M78" s="2" t="s">
        <v>114</v>
      </c>
      <c r="N78" s="11">
        <v>695.2</v>
      </c>
      <c r="O78" s="11">
        <v>162.6</v>
      </c>
      <c r="P78" s="3">
        <f t="shared" si="1"/>
        <v>834.2399999999999</v>
      </c>
      <c r="Q78" s="11"/>
      <c r="AB78" s="1" t="s">
        <v>225</v>
      </c>
      <c r="AC78" s="71" t="s">
        <v>474</v>
      </c>
      <c r="AD78" s="72">
        <v>236</v>
      </c>
      <c r="AE78" s="73">
        <v>98</v>
      </c>
      <c r="AF78" s="11">
        <v>258.5</v>
      </c>
      <c r="AG78" s="11">
        <v>29.8</v>
      </c>
    </row>
    <row r="79" spans="12:33" ht="15.75" x14ac:dyDescent="0.25">
      <c r="L79" s="1" t="s">
        <v>53</v>
      </c>
      <c r="M79" s="2" t="s">
        <v>54</v>
      </c>
      <c r="N79" s="11">
        <v>435.5</v>
      </c>
      <c r="O79" s="11">
        <v>74.7</v>
      </c>
      <c r="P79" s="3">
        <f t="shared" si="1"/>
        <v>522.59999999999991</v>
      </c>
      <c r="Q79" s="11"/>
      <c r="AB79" s="15" t="s">
        <v>351</v>
      </c>
      <c r="AC79" s="71" t="s">
        <v>475</v>
      </c>
      <c r="AD79" s="72">
        <v>942</v>
      </c>
      <c r="AE79" s="73">
        <v>270</v>
      </c>
      <c r="AF79" s="11">
        <v>695.2</v>
      </c>
      <c r="AG79" s="11">
        <v>162.6</v>
      </c>
    </row>
    <row r="80" spans="12:33" ht="15.75" x14ac:dyDescent="0.25">
      <c r="L80" s="1" t="s">
        <v>163</v>
      </c>
      <c r="M80" s="2" t="s">
        <v>164</v>
      </c>
      <c r="N80" s="11">
        <v>188.8</v>
      </c>
      <c r="O80" s="11">
        <v>27.3</v>
      </c>
      <c r="P80" s="3">
        <f t="shared" si="1"/>
        <v>226.55999999999997</v>
      </c>
      <c r="Q80" s="11"/>
      <c r="AB80" s="1" t="s">
        <v>53</v>
      </c>
      <c r="AC80" s="71" t="s">
        <v>476</v>
      </c>
      <c r="AD80" s="72">
        <v>564</v>
      </c>
      <c r="AE80" s="73">
        <v>270</v>
      </c>
      <c r="AF80" s="11">
        <v>435.5</v>
      </c>
      <c r="AG80" s="11">
        <v>74.7</v>
      </c>
    </row>
    <row r="81" spans="12:33" ht="15.75" x14ac:dyDescent="0.25">
      <c r="L81" s="1" t="s">
        <v>55</v>
      </c>
      <c r="M81" s="2" t="s">
        <v>56</v>
      </c>
      <c r="N81" s="11">
        <v>458.1</v>
      </c>
      <c r="O81" s="11">
        <v>59.8</v>
      </c>
      <c r="P81" s="3">
        <f t="shared" si="1"/>
        <v>549.71999999999991</v>
      </c>
      <c r="Q81" s="11"/>
      <c r="AB81" s="1" t="s">
        <v>163</v>
      </c>
      <c r="AC81" s="71" t="s">
        <v>477</v>
      </c>
      <c r="AD81" s="72">
        <v>194</v>
      </c>
      <c r="AE81" s="73">
        <v>54</v>
      </c>
      <c r="AF81" s="11">
        <v>188.8</v>
      </c>
      <c r="AG81" s="11">
        <v>27.3</v>
      </c>
    </row>
    <row r="82" spans="12:33" ht="15.75" x14ac:dyDescent="0.25">
      <c r="L82" s="1" t="s">
        <v>253</v>
      </c>
      <c r="M82" s="2" t="s">
        <v>254</v>
      </c>
      <c r="N82" s="11">
        <v>252.2</v>
      </c>
      <c r="O82" s="11">
        <v>41.1</v>
      </c>
      <c r="P82" s="3">
        <f t="shared" si="1"/>
        <v>302.64</v>
      </c>
      <c r="Q82" s="11"/>
      <c r="AB82" s="1" t="s">
        <v>55</v>
      </c>
      <c r="AC82" s="71" t="s">
        <v>478</v>
      </c>
      <c r="AD82" s="72">
        <v>402</v>
      </c>
      <c r="AE82" s="73">
        <v>168</v>
      </c>
      <c r="AF82" s="11">
        <v>458.1</v>
      </c>
      <c r="AG82" s="11">
        <v>59.8</v>
      </c>
    </row>
    <row r="83" spans="12:33" ht="15.75" x14ac:dyDescent="0.25">
      <c r="L83" s="1" t="s">
        <v>165</v>
      </c>
      <c r="M83" s="2" t="s">
        <v>166</v>
      </c>
      <c r="N83" s="11">
        <v>365.2</v>
      </c>
      <c r="O83" s="11">
        <v>69.3</v>
      </c>
      <c r="P83" s="3">
        <f t="shared" si="1"/>
        <v>438.23999999999995</v>
      </c>
      <c r="Q83" s="11"/>
      <c r="AB83" s="1" t="s">
        <v>253</v>
      </c>
      <c r="AC83" s="71" t="s">
        <v>479</v>
      </c>
      <c r="AD83" s="72">
        <v>289</v>
      </c>
      <c r="AE83" s="73">
        <v>93</v>
      </c>
      <c r="AF83" s="11">
        <v>252.2</v>
      </c>
      <c r="AG83" s="11">
        <v>41.1</v>
      </c>
    </row>
    <row r="84" spans="12:33" ht="15.75" x14ac:dyDescent="0.25">
      <c r="L84" s="1" t="s">
        <v>13</v>
      </c>
      <c r="M84" s="2" t="s">
        <v>14</v>
      </c>
      <c r="N84" s="4">
        <v>138.69999999999999</v>
      </c>
      <c r="O84" s="4">
        <v>24.3</v>
      </c>
      <c r="P84" s="3">
        <f t="shared" si="1"/>
        <v>166.44</v>
      </c>
      <c r="Q84" s="11"/>
      <c r="AB84" s="1" t="s">
        <v>165</v>
      </c>
      <c r="AC84" s="71" t="s">
        <v>480</v>
      </c>
      <c r="AD84" s="72">
        <v>333</v>
      </c>
      <c r="AE84" s="73">
        <v>92</v>
      </c>
      <c r="AF84" s="11">
        <v>365.2</v>
      </c>
      <c r="AG84" s="11">
        <v>69.3</v>
      </c>
    </row>
    <row r="85" spans="12:33" ht="15.75" x14ac:dyDescent="0.25">
      <c r="L85" s="15" t="s">
        <v>270</v>
      </c>
      <c r="M85" s="16" t="s">
        <v>271</v>
      </c>
      <c r="N85" s="11">
        <v>234</v>
      </c>
      <c r="O85" s="11">
        <v>31</v>
      </c>
      <c r="P85" s="3">
        <f t="shared" si="1"/>
        <v>280.79999999999995</v>
      </c>
      <c r="Q85" s="11"/>
      <c r="AB85" s="1" t="s">
        <v>13</v>
      </c>
      <c r="AC85" s="71" t="s">
        <v>481</v>
      </c>
      <c r="AD85" s="72">
        <v>194</v>
      </c>
      <c r="AE85" s="73">
        <v>53</v>
      </c>
      <c r="AF85" s="4">
        <v>138.69999999999999</v>
      </c>
      <c r="AG85" s="4">
        <v>24.3</v>
      </c>
    </row>
    <row r="86" spans="12:33" ht="15.75" x14ac:dyDescent="0.25">
      <c r="L86" s="1" t="s">
        <v>15</v>
      </c>
      <c r="M86" s="2" t="s">
        <v>16</v>
      </c>
      <c r="N86" s="3">
        <v>271.60000000000002</v>
      </c>
      <c r="O86" s="3">
        <v>47.5</v>
      </c>
      <c r="P86" s="3">
        <f t="shared" si="1"/>
        <v>325.91999999999996</v>
      </c>
      <c r="Q86" s="3"/>
      <c r="AB86" s="15" t="s">
        <v>270</v>
      </c>
      <c r="AC86" s="71" t="s">
        <v>482</v>
      </c>
      <c r="AD86" s="72">
        <v>56</v>
      </c>
      <c r="AE86" s="73">
        <v>21</v>
      </c>
      <c r="AF86" s="11">
        <v>234</v>
      </c>
      <c r="AG86" s="11">
        <v>31</v>
      </c>
    </row>
    <row r="87" spans="12:33" ht="15.75" x14ac:dyDescent="0.25">
      <c r="L87" s="1" t="s">
        <v>227</v>
      </c>
      <c r="M87" s="2" t="s">
        <v>228</v>
      </c>
      <c r="N87" s="11">
        <v>249.6</v>
      </c>
      <c r="O87" s="11">
        <v>23.8</v>
      </c>
      <c r="P87" s="3">
        <f t="shared" si="1"/>
        <v>299.52</v>
      </c>
      <c r="Q87" s="3"/>
      <c r="AB87" s="1" t="s">
        <v>15</v>
      </c>
      <c r="AC87" s="71" t="s">
        <v>483</v>
      </c>
      <c r="AD87" s="72">
        <v>335</v>
      </c>
      <c r="AE87" s="73">
        <v>82</v>
      </c>
      <c r="AF87" s="3">
        <v>271.60000000000002</v>
      </c>
      <c r="AG87" s="3">
        <v>47.5</v>
      </c>
    </row>
    <row r="88" spans="12:33" ht="15.75" x14ac:dyDescent="0.25">
      <c r="L88" s="1" t="s">
        <v>167</v>
      </c>
      <c r="M88" s="2" t="s">
        <v>168</v>
      </c>
      <c r="N88" s="11">
        <v>746.7</v>
      </c>
      <c r="O88" s="11">
        <v>180.6</v>
      </c>
      <c r="P88" s="3">
        <f t="shared" si="1"/>
        <v>896.04</v>
      </c>
      <c r="Q88" s="11"/>
      <c r="AB88" s="1" t="s">
        <v>227</v>
      </c>
      <c r="AC88" s="71" t="s">
        <v>484</v>
      </c>
      <c r="AD88" s="72">
        <v>167</v>
      </c>
      <c r="AE88" s="73">
        <v>134</v>
      </c>
      <c r="AF88" s="11">
        <v>249.6</v>
      </c>
      <c r="AG88" s="11">
        <v>23.8</v>
      </c>
    </row>
    <row r="89" spans="12:33" ht="15.75" x14ac:dyDescent="0.25">
      <c r="L89" s="1" t="s">
        <v>169</v>
      </c>
      <c r="M89" s="2" t="s">
        <v>170</v>
      </c>
      <c r="N89" s="11">
        <v>321.60000000000002</v>
      </c>
      <c r="O89" s="11">
        <v>74.599999999999994</v>
      </c>
      <c r="P89" s="3">
        <f t="shared" si="1"/>
        <v>385.91999999999996</v>
      </c>
      <c r="Q89" s="3"/>
      <c r="AB89" s="1" t="s">
        <v>167</v>
      </c>
      <c r="AC89" s="71" t="s">
        <v>485</v>
      </c>
      <c r="AD89" s="72">
        <v>1046</v>
      </c>
      <c r="AE89" s="73">
        <v>210</v>
      </c>
      <c r="AF89" s="11">
        <v>746.7</v>
      </c>
      <c r="AG89" s="11">
        <v>180.6</v>
      </c>
    </row>
    <row r="90" spans="12:33" ht="15.75" x14ac:dyDescent="0.25">
      <c r="L90" s="1" t="s">
        <v>92</v>
      </c>
      <c r="M90" s="2" t="s">
        <v>93</v>
      </c>
      <c r="N90" s="11">
        <v>159.80000000000001</v>
      </c>
      <c r="O90" s="11">
        <v>32.200000000000003</v>
      </c>
      <c r="P90" s="3">
        <f t="shared" si="1"/>
        <v>191.76</v>
      </c>
      <c r="Q90" s="9"/>
      <c r="AB90" s="1" t="s">
        <v>169</v>
      </c>
      <c r="AC90" s="71" t="s">
        <v>486</v>
      </c>
      <c r="AD90" s="72">
        <v>487</v>
      </c>
      <c r="AE90" s="73">
        <v>94</v>
      </c>
      <c r="AF90" s="11">
        <v>321.60000000000002</v>
      </c>
      <c r="AG90" s="11">
        <v>74.599999999999994</v>
      </c>
    </row>
    <row r="91" spans="12:33" ht="15.75" x14ac:dyDescent="0.25">
      <c r="L91" s="1" t="s">
        <v>57</v>
      </c>
      <c r="M91" s="2" t="s">
        <v>58</v>
      </c>
      <c r="N91" s="11">
        <v>330.8</v>
      </c>
      <c r="O91" s="11">
        <v>78.5</v>
      </c>
      <c r="P91" s="3">
        <f t="shared" si="1"/>
        <v>396.96</v>
      </c>
      <c r="Q91" s="11"/>
      <c r="AB91" s="1" t="s">
        <v>92</v>
      </c>
      <c r="AC91" s="71" t="s">
        <v>487</v>
      </c>
      <c r="AD91" s="72">
        <v>214</v>
      </c>
      <c r="AE91" s="73">
        <v>50</v>
      </c>
      <c r="AF91" s="11">
        <v>159.80000000000001</v>
      </c>
      <c r="AG91" s="11">
        <v>32.200000000000003</v>
      </c>
    </row>
    <row r="92" spans="12:33" ht="15.75" x14ac:dyDescent="0.25">
      <c r="L92" s="1" t="s">
        <v>94</v>
      </c>
      <c r="M92" s="2" t="s">
        <v>95</v>
      </c>
      <c r="N92" s="11">
        <v>155.5</v>
      </c>
      <c r="O92" s="11">
        <v>32.5</v>
      </c>
      <c r="P92" s="3">
        <f t="shared" si="1"/>
        <v>186.6</v>
      </c>
      <c r="Q92" s="11"/>
      <c r="AB92" s="1" t="s">
        <v>57</v>
      </c>
      <c r="AC92" s="71" t="s">
        <v>488</v>
      </c>
      <c r="AD92" s="72">
        <v>362</v>
      </c>
      <c r="AE92" s="73">
        <v>110</v>
      </c>
      <c r="AF92" s="11">
        <v>330.8</v>
      </c>
      <c r="AG92" s="11">
        <v>78.5</v>
      </c>
    </row>
    <row r="93" spans="12:33" ht="15.75" x14ac:dyDescent="0.25">
      <c r="L93" s="1" t="s">
        <v>292</v>
      </c>
      <c r="M93" s="2" t="s">
        <v>293</v>
      </c>
      <c r="N93" s="11">
        <v>204.7</v>
      </c>
      <c r="O93" s="11">
        <v>46.9</v>
      </c>
      <c r="P93" s="3">
        <f t="shared" si="1"/>
        <v>245.64</v>
      </c>
      <c r="Q93" s="11"/>
      <c r="AB93" s="1" t="s">
        <v>94</v>
      </c>
      <c r="AC93" s="71" t="s">
        <v>489</v>
      </c>
      <c r="AD93" s="72">
        <v>136</v>
      </c>
      <c r="AE93" s="73">
        <v>40</v>
      </c>
      <c r="AF93" s="11">
        <v>155.5</v>
      </c>
      <c r="AG93" s="11">
        <v>32.5</v>
      </c>
    </row>
    <row r="94" spans="12:33" ht="15.75" x14ac:dyDescent="0.25">
      <c r="L94" s="1" t="s">
        <v>131</v>
      </c>
      <c r="M94" s="2" t="s">
        <v>132</v>
      </c>
      <c r="N94" s="11">
        <v>211.8</v>
      </c>
      <c r="O94" s="11">
        <v>45.2</v>
      </c>
      <c r="P94" s="3">
        <f t="shared" si="1"/>
        <v>254.15999999999997</v>
      </c>
      <c r="Q94" s="3"/>
      <c r="AB94" s="1" t="s">
        <v>292</v>
      </c>
      <c r="AC94" s="71" t="s">
        <v>490</v>
      </c>
      <c r="AD94" s="72">
        <v>322</v>
      </c>
      <c r="AE94" s="73">
        <v>72</v>
      </c>
      <c r="AF94" s="11">
        <v>204.7</v>
      </c>
      <c r="AG94" s="11">
        <v>46.9</v>
      </c>
    </row>
    <row r="95" spans="12:33" ht="15.75" x14ac:dyDescent="0.25">
      <c r="L95" s="1" t="s">
        <v>19</v>
      </c>
      <c r="M95" s="2" t="s">
        <v>20</v>
      </c>
      <c r="N95" s="4">
        <v>196</v>
      </c>
      <c r="O95" s="4">
        <v>40</v>
      </c>
      <c r="P95" s="3">
        <f t="shared" si="1"/>
        <v>235.2</v>
      </c>
      <c r="Q95" s="11"/>
      <c r="AB95" s="1" t="s">
        <v>131</v>
      </c>
      <c r="AC95" s="71" t="s">
        <v>491</v>
      </c>
      <c r="AD95" s="72">
        <v>291</v>
      </c>
      <c r="AE95" s="73">
        <v>81</v>
      </c>
      <c r="AF95" s="11">
        <v>211.8</v>
      </c>
      <c r="AG95" s="11">
        <v>45.2</v>
      </c>
    </row>
    <row r="96" spans="12:33" ht="15.75" x14ac:dyDescent="0.25">
      <c r="L96" s="1" t="s">
        <v>96</v>
      </c>
      <c r="M96" s="2" t="s">
        <v>97</v>
      </c>
      <c r="N96" s="11">
        <v>788.8</v>
      </c>
      <c r="O96" s="11">
        <v>171.3</v>
      </c>
      <c r="P96" s="3">
        <f t="shared" si="1"/>
        <v>946.56</v>
      </c>
      <c r="Q96" s="3"/>
      <c r="AB96" s="1" t="s">
        <v>19</v>
      </c>
      <c r="AC96" s="71" t="s">
        <v>493</v>
      </c>
      <c r="AD96" s="72">
        <v>267</v>
      </c>
      <c r="AE96" s="73">
        <v>92</v>
      </c>
      <c r="AF96" s="4">
        <v>196</v>
      </c>
      <c r="AG96" s="4">
        <v>40</v>
      </c>
    </row>
    <row r="97" spans="12:33" ht="15.75" x14ac:dyDescent="0.25">
      <c r="L97" s="1" t="s">
        <v>115</v>
      </c>
      <c r="M97" s="2" t="s">
        <v>116</v>
      </c>
      <c r="N97" s="11">
        <v>678.3</v>
      </c>
      <c r="O97" s="11">
        <v>117.6</v>
      </c>
      <c r="P97" s="3">
        <f t="shared" si="1"/>
        <v>813.95999999999992</v>
      </c>
      <c r="Q97" s="9"/>
      <c r="AB97" s="1" t="s">
        <v>96</v>
      </c>
      <c r="AC97" s="71" t="s">
        <v>494</v>
      </c>
      <c r="AD97" s="72">
        <v>996</v>
      </c>
      <c r="AE97" s="73">
        <v>220</v>
      </c>
      <c r="AF97" s="11">
        <v>788.8</v>
      </c>
      <c r="AG97" s="11">
        <v>171.3</v>
      </c>
    </row>
    <row r="98" spans="12:33" ht="15.75" x14ac:dyDescent="0.25">
      <c r="L98" s="1" t="s">
        <v>21</v>
      </c>
      <c r="M98" s="2" t="s">
        <v>22</v>
      </c>
      <c r="N98" s="3">
        <v>310.60000000000002</v>
      </c>
      <c r="O98" s="3">
        <v>69.5</v>
      </c>
      <c r="P98" s="3">
        <f t="shared" si="1"/>
        <v>372.71999999999997</v>
      </c>
      <c r="Q98" s="11"/>
      <c r="AB98" s="1" t="s">
        <v>115</v>
      </c>
      <c r="AC98" s="71" t="s">
        <v>495</v>
      </c>
      <c r="AD98" s="72">
        <v>585</v>
      </c>
      <c r="AE98" s="73">
        <v>186</v>
      </c>
      <c r="AF98" s="11">
        <v>678.3</v>
      </c>
      <c r="AG98" s="11">
        <v>117.6</v>
      </c>
    </row>
    <row r="99" spans="12:33" ht="15.75" x14ac:dyDescent="0.25">
      <c r="L99" s="1" t="s">
        <v>117</v>
      </c>
      <c r="M99" s="2" t="s">
        <v>118</v>
      </c>
      <c r="N99" s="11">
        <v>288.7</v>
      </c>
      <c r="O99" s="11">
        <v>40.799999999999997</v>
      </c>
      <c r="P99" s="3">
        <f t="shared" si="1"/>
        <v>346.44</v>
      </c>
      <c r="Q99" s="11"/>
      <c r="AB99" s="1" t="s">
        <v>21</v>
      </c>
      <c r="AC99" s="71" t="s">
        <v>496</v>
      </c>
      <c r="AD99" s="72">
        <v>561</v>
      </c>
      <c r="AE99" s="73">
        <v>126</v>
      </c>
      <c r="AF99" s="3">
        <v>310.60000000000002</v>
      </c>
      <c r="AG99" s="3">
        <v>69.5</v>
      </c>
    </row>
    <row r="100" spans="12:33" ht="15.75" x14ac:dyDescent="0.25">
      <c r="L100" s="1" t="s">
        <v>119</v>
      </c>
      <c r="M100" s="2" t="s">
        <v>120</v>
      </c>
      <c r="N100" s="11">
        <v>660.2</v>
      </c>
      <c r="O100" s="11">
        <v>134</v>
      </c>
      <c r="P100" s="3">
        <f t="shared" si="1"/>
        <v>792.2399999999999</v>
      </c>
      <c r="Q100" s="11"/>
      <c r="AB100" s="1" t="s">
        <v>117</v>
      </c>
      <c r="AC100" s="71" t="s">
        <v>497</v>
      </c>
      <c r="AD100" s="72">
        <v>263</v>
      </c>
      <c r="AE100" s="73">
        <v>94</v>
      </c>
      <c r="AF100" s="11">
        <v>288.7</v>
      </c>
      <c r="AG100" s="11">
        <v>40.799999999999997</v>
      </c>
    </row>
    <row r="101" spans="12:33" ht="15.75" x14ac:dyDescent="0.25">
      <c r="L101" s="1" t="s">
        <v>59</v>
      </c>
      <c r="M101" s="2" t="s">
        <v>60</v>
      </c>
      <c r="N101" s="11">
        <v>219.5</v>
      </c>
      <c r="O101" s="11">
        <v>38</v>
      </c>
      <c r="P101" s="3">
        <f t="shared" si="1"/>
        <v>263.39999999999998</v>
      </c>
      <c r="Q101" s="11"/>
      <c r="AB101" s="1" t="s">
        <v>119</v>
      </c>
      <c r="AC101" s="71" t="s">
        <v>498</v>
      </c>
      <c r="AD101" s="72">
        <v>723</v>
      </c>
      <c r="AE101" s="73">
        <v>207</v>
      </c>
      <c r="AF101" s="11">
        <v>660.2</v>
      </c>
      <c r="AG101" s="11">
        <v>134</v>
      </c>
    </row>
    <row r="102" spans="12:33" ht="15.75" x14ac:dyDescent="0.25">
      <c r="L102" s="15" t="s">
        <v>272</v>
      </c>
      <c r="M102" s="16" t="s">
        <v>273</v>
      </c>
      <c r="N102" s="11">
        <v>611.6</v>
      </c>
      <c r="O102" s="11">
        <v>107.3</v>
      </c>
      <c r="P102" s="3">
        <f t="shared" si="1"/>
        <v>733.92</v>
      </c>
      <c r="Q102" s="11"/>
      <c r="AB102" s="1" t="s">
        <v>59</v>
      </c>
      <c r="AC102" s="71" t="s">
        <v>499</v>
      </c>
      <c r="AD102" s="72">
        <v>258</v>
      </c>
      <c r="AE102" s="73">
        <v>95</v>
      </c>
      <c r="AF102" s="11">
        <v>219.5</v>
      </c>
      <c r="AG102" s="11">
        <v>38</v>
      </c>
    </row>
    <row r="103" spans="12:33" ht="15.75" x14ac:dyDescent="0.25">
      <c r="L103" s="1" t="s">
        <v>171</v>
      </c>
      <c r="M103" s="2" t="s">
        <v>172</v>
      </c>
      <c r="N103" s="11">
        <v>163.30000000000001</v>
      </c>
      <c r="O103" s="11">
        <v>27.2</v>
      </c>
      <c r="P103" s="3">
        <f t="shared" si="1"/>
        <v>195.95999999999998</v>
      </c>
      <c r="Q103" s="11"/>
      <c r="AB103" s="15" t="s">
        <v>272</v>
      </c>
      <c r="AC103" s="71" t="s">
        <v>500</v>
      </c>
      <c r="AD103" s="72">
        <v>642</v>
      </c>
      <c r="AE103" s="73">
        <v>109</v>
      </c>
      <c r="AF103" s="11">
        <v>611.6</v>
      </c>
      <c r="AG103" s="11">
        <v>107.3</v>
      </c>
    </row>
    <row r="104" spans="12:33" ht="15.75" x14ac:dyDescent="0.25">
      <c r="L104" s="1" t="s">
        <v>294</v>
      </c>
      <c r="M104" s="2" t="s">
        <v>295</v>
      </c>
      <c r="N104" s="11">
        <v>250.7</v>
      </c>
      <c r="O104" s="11">
        <v>46.7</v>
      </c>
      <c r="P104" s="3">
        <f t="shared" si="1"/>
        <v>300.83999999999997</v>
      </c>
      <c r="Q104" s="11"/>
      <c r="AB104" s="1" t="s">
        <v>171</v>
      </c>
      <c r="AC104" s="71" t="s">
        <v>501</v>
      </c>
      <c r="AD104" s="72">
        <v>121</v>
      </c>
      <c r="AE104" s="73">
        <v>48</v>
      </c>
      <c r="AF104" s="11">
        <v>163.30000000000001</v>
      </c>
      <c r="AG104" s="11">
        <v>27.2</v>
      </c>
    </row>
    <row r="105" spans="12:33" ht="15.75" x14ac:dyDescent="0.25">
      <c r="L105" s="15" t="s">
        <v>274</v>
      </c>
      <c r="M105" s="16" t="s">
        <v>275</v>
      </c>
      <c r="N105" s="11">
        <v>197.7</v>
      </c>
      <c r="O105" s="11">
        <v>31.8</v>
      </c>
      <c r="P105" s="3">
        <f t="shared" si="1"/>
        <v>237.23999999999998</v>
      </c>
      <c r="Q105" s="11"/>
      <c r="AB105" s="1" t="s">
        <v>294</v>
      </c>
      <c r="AC105" s="71" t="s">
        <v>502</v>
      </c>
      <c r="AD105" s="72">
        <v>267</v>
      </c>
      <c r="AE105" s="73">
        <v>87</v>
      </c>
      <c r="AF105" s="11">
        <v>250.7</v>
      </c>
      <c r="AG105" s="11">
        <v>46.7</v>
      </c>
    </row>
    <row r="106" spans="12:33" ht="15.75" x14ac:dyDescent="0.25">
      <c r="L106" s="1" t="s">
        <v>229</v>
      </c>
      <c r="M106" s="2" t="s">
        <v>230</v>
      </c>
      <c r="N106" s="11">
        <v>254.4</v>
      </c>
      <c r="O106" s="11">
        <v>38.200000000000003</v>
      </c>
      <c r="P106" s="3">
        <f t="shared" si="1"/>
        <v>305.27999999999997</v>
      </c>
      <c r="Q106" s="11"/>
      <c r="AB106" s="15" t="s">
        <v>274</v>
      </c>
      <c r="AC106" s="71" t="s">
        <v>503</v>
      </c>
      <c r="AD106" s="72">
        <v>209</v>
      </c>
      <c r="AE106" s="73">
        <v>55</v>
      </c>
      <c r="AF106" s="11">
        <v>197.7</v>
      </c>
      <c r="AG106" s="11">
        <v>31.8</v>
      </c>
    </row>
    <row r="107" spans="12:33" ht="15.75" x14ac:dyDescent="0.25">
      <c r="L107" s="1" t="s">
        <v>23</v>
      </c>
      <c r="M107" s="2" t="s">
        <v>24</v>
      </c>
      <c r="N107" s="3">
        <v>139.4</v>
      </c>
      <c r="O107" s="3">
        <v>29.8</v>
      </c>
      <c r="P107" s="3">
        <f t="shared" si="1"/>
        <v>167.27999999999997</v>
      </c>
      <c r="Q107" s="11"/>
      <c r="AB107" s="1" t="s">
        <v>229</v>
      </c>
      <c r="AC107" s="71" t="s">
        <v>504</v>
      </c>
      <c r="AD107" s="72">
        <v>220</v>
      </c>
      <c r="AE107" s="73">
        <v>70</v>
      </c>
      <c r="AF107" s="11">
        <v>254.4</v>
      </c>
      <c r="AG107" s="11">
        <v>38.200000000000003</v>
      </c>
    </row>
    <row r="108" spans="12:33" ht="15.75" x14ac:dyDescent="0.25">
      <c r="L108" s="1" t="s">
        <v>231</v>
      </c>
      <c r="M108" s="2" t="s">
        <v>232</v>
      </c>
      <c r="N108" s="11">
        <v>180</v>
      </c>
      <c r="O108" s="11">
        <v>27.5</v>
      </c>
      <c r="P108" s="3">
        <f t="shared" si="1"/>
        <v>215.99999999999997</v>
      </c>
      <c r="Q108" s="11"/>
      <c r="AB108" s="1" t="s">
        <v>23</v>
      </c>
      <c r="AC108" s="71" t="s">
        <v>505</v>
      </c>
      <c r="AD108" s="72">
        <v>178</v>
      </c>
      <c r="AE108" s="73">
        <v>52</v>
      </c>
      <c r="AF108" s="3">
        <v>139.4</v>
      </c>
      <c r="AG108" s="3">
        <v>29.8</v>
      </c>
    </row>
    <row r="109" spans="12:33" ht="15.75" x14ac:dyDescent="0.25">
      <c r="L109" s="1" t="s">
        <v>98</v>
      </c>
      <c r="M109" s="2" t="s">
        <v>99</v>
      </c>
      <c r="N109" s="11">
        <v>253.4</v>
      </c>
      <c r="O109" s="11">
        <v>49</v>
      </c>
      <c r="P109" s="3">
        <f t="shared" si="1"/>
        <v>304.08</v>
      </c>
      <c r="Q109" s="11"/>
      <c r="AB109" s="1" t="s">
        <v>231</v>
      </c>
      <c r="AC109" s="71" t="s">
        <v>506</v>
      </c>
      <c r="AD109" s="72">
        <v>106</v>
      </c>
      <c r="AE109" s="73">
        <v>33</v>
      </c>
      <c r="AF109" s="11">
        <v>180</v>
      </c>
      <c r="AG109" s="11">
        <v>27.5</v>
      </c>
    </row>
    <row r="110" spans="12:33" ht="15.75" x14ac:dyDescent="0.25">
      <c r="L110" s="1" t="s">
        <v>61</v>
      </c>
      <c r="M110" s="2" t="s">
        <v>62</v>
      </c>
      <c r="N110" s="11">
        <v>219.2</v>
      </c>
      <c r="O110" s="11">
        <v>39.1</v>
      </c>
      <c r="P110" s="3">
        <f t="shared" si="1"/>
        <v>263.03999999999996</v>
      </c>
      <c r="Q110" s="11"/>
      <c r="AB110" s="1" t="s">
        <v>98</v>
      </c>
      <c r="AC110" s="71" t="s">
        <v>507</v>
      </c>
      <c r="AD110" s="72">
        <v>351</v>
      </c>
      <c r="AE110" s="73">
        <v>81</v>
      </c>
      <c r="AF110" s="11">
        <v>253.4</v>
      </c>
      <c r="AG110" s="11">
        <v>49</v>
      </c>
    </row>
    <row r="111" spans="12:33" ht="15.75" x14ac:dyDescent="0.25">
      <c r="L111" s="1" t="s">
        <v>133</v>
      </c>
      <c r="M111" s="2" t="s">
        <v>134</v>
      </c>
      <c r="N111" s="11">
        <v>287.5</v>
      </c>
      <c r="O111" s="11">
        <v>53</v>
      </c>
      <c r="P111" s="3">
        <f t="shared" si="1"/>
        <v>344.99999999999994</v>
      </c>
      <c r="Q111" s="11"/>
      <c r="AB111" s="1" t="s">
        <v>61</v>
      </c>
      <c r="AC111" s="71" t="s">
        <v>508</v>
      </c>
      <c r="AD111" s="72">
        <v>328</v>
      </c>
      <c r="AE111" s="73">
        <v>122</v>
      </c>
      <c r="AF111" s="11">
        <v>219.2</v>
      </c>
      <c r="AG111" s="11">
        <v>39.1</v>
      </c>
    </row>
    <row r="112" spans="12:33" ht="15.75" x14ac:dyDescent="0.25">
      <c r="L112" s="1" t="s">
        <v>63</v>
      </c>
      <c r="M112" s="2" t="s">
        <v>64</v>
      </c>
      <c r="N112" s="11">
        <v>276.2</v>
      </c>
      <c r="O112" s="11">
        <v>64</v>
      </c>
      <c r="P112" s="3">
        <f t="shared" si="1"/>
        <v>331.44</v>
      </c>
      <c r="Q112" s="11"/>
      <c r="AB112" s="1" t="s">
        <v>133</v>
      </c>
      <c r="AC112" s="71" t="s">
        <v>509</v>
      </c>
      <c r="AD112" s="72">
        <v>387</v>
      </c>
      <c r="AE112" s="73">
        <v>116</v>
      </c>
      <c r="AF112" s="11">
        <v>287.5</v>
      </c>
      <c r="AG112" s="11">
        <v>53</v>
      </c>
    </row>
    <row r="113" spans="12:33" ht="15.75" x14ac:dyDescent="0.25">
      <c r="L113" s="1" t="s">
        <v>100</v>
      </c>
      <c r="M113" s="2" t="s">
        <v>101</v>
      </c>
      <c r="N113" s="11">
        <v>530.29999999999995</v>
      </c>
      <c r="O113" s="11">
        <v>97.7</v>
      </c>
      <c r="P113" s="3">
        <f t="shared" si="1"/>
        <v>636.3599999999999</v>
      </c>
      <c r="Q113" s="11"/>
      <c r="AB113" s="1" t="s">
        <v>63</v>
      </c>
      <c r="AC113" s="71" t="s">
        <v>510</v>
      </c>
      <c r="AD113" s="72">
        <v>416</v>
      </c>
      <c r="AE113" s="73">
        <v>108</v>
      </c>
      <c r="AF113" s="11">
        <v>276.2</v>
      </c>
      <c r="AG113" s="11">
        <v>64</v>
      </c>
    </row>
    <row r="114" spans="12:33" ht="15.75" x14ac:dyDescent="0.25">
      <c r="L114" s="1" t="s">
        <v>135</v>
      </c>
      <c r="M114" s="2" t="s">
        <v>136</v>
      </c>
      <c r="N114" s="11">
        <v>290.89999999999998</v>
      </c>
      <c r="O114" s="11">
        <v>68.099999999999994</v>
      </c>
      <c r="P114" s="3">
        <f t="shared" si="1"/>
        <v>349.08</v>
      </c>
      <c r="Q114" s="11"/>
      <c r="AB114" s="1" t="s">
        <v>100</v>
      </c>
      <c r="AC114" s="71" t="s">
        <v>511</v>
      </c>
      <c r="AD114" s="72">
        <v>760</v>
      </c>
      <c r="AE114" s="73">
        <v>227</v>
      </c>
      <c r="AF114" s="11">
        <v>530.29999999999995</v>
      </c>
      <c r="AG114" s="11">
        <v>97.7</v>
      </c>
    </row>
    <row r="115" spans="12:33" ht="18.75" x14ac:dyDescent="0.25">
      <c r="L115" s="1" t="s">
        <v>137</v>
      </c>
      <c r="M115" s="2" t="s">
        <v>138</v>
      </c>
      <c r="N115" s="11">
        <v>203.6</v>
      </c>
      <c r="O115" s="11">
        <v>42.5</v>
      </c>
      <c r="P115" s="3">
        <f t="shared" si="1"/>
        <v>244.31999999999996</v>
      </c>
      <c r="Q115" s="11"/>
      <c r="AB115" s="1" t="s">
        <v>135</v>
      </c>
      <c r="AC115" s="71" t="s">
        <v>512</v>
      </c>
      <c r="AD115" s="72">
        <v>430</v>
      </c>
      <c r="AE115" s="73">
        <v>114</v>
      </c>
      <c r="AF115" s="11">
        <v>290.89999999999998</v>
      </c>
      <c r="AG115" s="11">
        <v>68.099999999999994</v>
      </c>
    </row>
    <row r="116" spans="12:33" ht="18.75" x14ac:dyDescent="0.25">
      <c r="L116" s="1" t="s">
        <v>296</v>
      </c>
      <c r="M116" s="2" t="s">
        <v>297</v>
      </c>
      <c r="N116" s="11">
        <v>522.79999999999995</v>
      </c>
      <c r="O116" s="11">
        <v>123.4</v>
      </c>
      <c r="P116" s="3">
        <f t="shared" si="1"/>
        <v>627.3599999999999</v>
      </c>
      <c r="Q116" s="11"/>
      <c r="AB116" s="1" t="s">
        <v>137</v>
      </c>
      <c r="AC116" s="71" t="s">
        <v>513</v>
      </c>
      <c r="AD116" s="72">
        <v>238</v>
      </c>
      <c r="AE116" s="73">
        <v>58</v>
      </c>
      <c r="AF116" s="11">
        <v>203.6</v>
      </c>
      <c r="AG116" s="11">
        <v>42.5</v>
      </c>
    </row>
    <row r="117" spans="12:33" ht="15.75" x14ac:dyDescent="0.25">
      <c r="L117" s="1" t="s">
        <v>139</v>
      </c>
      <c r="M117" s="2" t="s">
        <v>140</v>
      </c>
      <c r="N117" s="11">
        <v>340.2</v>
      </c>
      <c r="O117" s="11">
        <v>58.5</v>
      </c>
      <c r="P117" s="3">
        <f t="shared" si="1"/>
        <v>408.23999999999995</v>
      </c>
      <c r="Q117" s="11"/>
      <c r="AB117" s="1" t="s">
        <v>296</v>
      </c>
      <c r="AC117" s="71" t="s">
        <v>514</v>
      </c>
      <c r="AD117" s="72">
        <v>827</v>
      </c>
      <c r="AE117" s="73">
        <v>189</v>
      </c>
      <c r="AF117" s="11">
        <v>522.79999999999995</v>
      </c>
      <c r="AG117" s="11">
        <v>123.4</v>
      </c>
    </row>
    <row r="118" spans="12:33" ht="15.75" x14ac:dyDescent="0.25">
      <c r="L118" s="1" t="s">
        <v>173</v>
      </c>
      <c r="M118" s="2" t="s">
        <v>174</v>
      </c>
      <c r="N118" s="11">
        <v>333.3</v>
      </c>
      <c r="O118" s="11">
        <v>73.8</v>
      </c>
      <c r="P118" s="3">
        <f t="shared" si="1"/>
        <v>399.96</v>
      </c>
      <c r="Q118" s="11"/>
      <c r="AB118" s="1" t="s">
        <v>139</v>
      </c>
      <c r="AC118" s="71" t="s">
        <v>515</v>
      </c>
      <c r="AD118" s="72">
        <v>350</v>
      </c>
      <c r="AE118" s="73">
        <v>93</v>
      </c>
      <c r="AF118" s="11">
        <v>340.2</v>
      </c>
      <c r="AG118" s="11">
        <v>58.5</v>
      </c>
    </row>
    <row r="119" spans="12:33" ht="15.75" x14ac:dyDescent="0.25">
      <c r="L119" s="1" t="s">
        <v>298</v>
      </c>
      <c r="M119" s="2" t="s">
        <v>299</v>
      </c>
      <c r="N119" s="11">
        <v>256.5</v>
      </c>
      <c r="O119" s="11">
        <v>47.8</v>
      </c>
      <c r="P119" s="3">
        <f t="shared" si="1"/>
        <v>307.79999999999995</v>
      </c>
      <c r="Q119" s="11"/>
      <c r="AB119" s="1" t="s">
        <v>173</v>
      </c>
      <c r="AC119" s="71" t="s">
        <v>516</v>
      </c>
      <c r="AD119" s="72">
        <v>450</v>
      </c>
      <c r="AE119" s="73">
        <v>118</v>
      </c>
      <c r="AF119" s="11">
        <v>333.3</v>
      </c>
      <c r="AG119" s="11">
        <v>73.8</v>
      </c>
    </row>
    <row r="120" spans="12:33" ht="15.75" x14ac:dyDescent="0.25">
      <c r="L120" s="1" t="s">
        <v>141</v>
      </c>
      <c r="M120" s="2" t="s">
        <v>142</v>
      </c>
      <c r="N120" s="11">
        <v>606.1</v>
      </c>
      <c r="O120" s="11">
        <v>122.3</v>
      </c>
      <c r="P120" s="3">
        <f t="shared" si="1"/>
        <v>727.31999999999994</v>
      </c>
      <c r="Q120" s="11"/>
      <c r="AB120" s="1" t="s">
        <v>298</v>
      </c>
      <c r="AC120" s="71" t="s">
        <v>517</v>
      </c>
      <c r="AD120" s="72">
        <v>367</v>
      </c>
      <c r="AE120" s="73">
        <v>86</v>
      </c>
      <c r="AF120" s="11">
        <v>256.5</v>
      </c>
      <c r="AG120" s="11">
        <v>47.8</v>
      </c>
    </row>
    <row r="121" spans="12:33" ht="15.75" x14ac:dyDescent="0.25">
      <c r="L121" s="1" t="s">
        <v>25</v>
      </c>
      <c r="M121" s="2" t="s">
        <v>26</v>
      </c>
      <c r="N121" s="4">
        <v>151</v>
      </c>
      <c r="O121" s="4">
        <v>31.3</v>
      </c>
      <c r="P121" s="3">
        <f t="shared" si="1"/>
        <v>181.2</v>
      </c>
      <c r="Q121" s="11"/>
      <c r="AB121" s="1" t="s">
        <v>141</v>
      </c>
      <c r="AC121" s="71" t="s">
        <v>518</v>
      </c>
      <c r="AD121" s="72">
        <v>663</v>
      </c>
      <c r="AE121" s="73">
        <v>175</v>
      </c>
      <c r="AF121" s="11">
        <v>606.1</v>
      </c>
      <c r="AG121" s="11">
        <v>122.3</v>
      </c>
    </row>
    <row r="122" spans="12:33" ht="15.75" x14ac:dyDescent="0.25">
      <c r="L122" s="1" t="s">
        <v>175</v>
      </c>
      <c r="M122" s="2" t="s">
        <v>176</v>
      </c>
      <c r="N122" s="11">
        <v>391.4</v>
      </c>
      <c r="O122" s="11">
        <v>69.8</v>
      </c>
      <c r="P122" s="3">
        <f t="shared" si="1"/>
        <v>469.67999999999995</v>
      </c>
      <c r="Q122" s="11"/>
      <c r="AB122" s="1" t="s">
        <v>25</v>
      </c>
      <c r="AC122" s="71" t="s">
        <v>519</v>
      </c>
      <c r="AD122" s="72">
        <v>154</v>
      </c>
      <c r="AE122" s="73">
        <v>49</v>
      </c>
      <c r="AF122" s="4">
        <v>151</v>
      </c>
      <c r="AG122" s="4">
        <v>31.3</v>
      </c>
    </row>
    <row r="123" spans="12:33" ht="15.75" x14ac:dyDescent="0.25">
      <c r="L123" s="15" t="s">
        <v>276</v>
      </c>
      <c r="M123" s="16" t="s">
        <v>277</v>
      </c>
      <c r="N123" s="11">
        <v>231.2</v>
      </c>
      <c r="O123" s="11">
        <v>35.700000000000003</v>
      </c>
      <c r="P123" s="3">
        <f t="shared" si="1"/>
        <v>277.44</v>
      </c>
      <c r="Q123" s="11"/>
      <c r="AB123" s="1" t="s">
        <v>175</v>
      </c>
      <c r="AC123" s="71" t="s">
        <v>520</v>
      </c>
      <c r="AD123" s="72">
        <v>467</v>
      </c>
      <c r="AE123" s="73">
        <v>134</v>
      </c>
      <c r="AF123" s="11">
        <v>391.4</v>
      </c>
      <c r="AG123" s="11">
        <v>69.8</v>
      </c>
    </row>
    <row r="124" spans="12:33" ht="15.75" x14ac:dyDescent="0.25">
      <c r="L124" s="1" t="s">
        <v>233</v>
      </c>
      <c r="M124" s="2" t="s">
        <v>234</v>
      </c>
      <c r="N124" s="11">
        <v>274.39999999999998</v>
      </c>
      <c r="O124" s="11">
        <v>29.5</v>
      </c>
      <c r="P124" s="3">
        <f t="shared" si="1"/>
        <v>329.28</v>
      </c>
      <c r="Q124" s="11"/>
      <c r="AB124" s="15" t="s">
        <v>276</v>
      </c>
      <c r="AC124" s="71" t="s">
        <v>521</v>
      </c>
      <c r="AD124" s="72">
        <v>239</v>
      </c>
      <c r="AE124" s="73">
        <v>64</v>
      </c>
      <c r="AF124" s="11">
        <v>231.2</v>
      </c>
      <c r="AG124" s="11">
        <v>35.700000000000003</v>
      </c>
    </row>
    <row r="125" spans="12:33" ht="15.75" x14ac:dyDescent="0.25">
      <c r="L125" s="1" t="s">
        <v>65</v>
      </c>
      <c r="M125" s="2" t="s">
        <v>66</v>
      </c>
      <c r="N125" s="11">
        <v>280.89999999999998</v>
      </c>
      <c r="O125" s="11">
        <v>57</v>
      </c>
      <c r="P125" s="3">
        <f t="shared" si="1"/>
        <v>337.08</v>
      </c>
      <c r="Q125" s="11"/>
      <c r="AB125" s="1" t="s">
        <v>233</v>
      </c>
      <c r="AC125" s="71" t="s">
        <v>522</v>
      </c>
      <c r="AD125" s="72">
        <v>166</v>
      </c>
      <c r="AE125" s="73">
        <v>97</v>
      </c>
      <c r="AF125" s="11">
        <v>274.39999999999998</v>
      </c>
      <c r="AG125" s="11">
        <v>29.5</v>
      </c>
    </row>
    <row r="126" spans="12:33" ht="15.75" x14ac:dyDescent="0.25">
      <c r="L126" s="1" t="s">
        <v>17</v>
      </c>
      <c r="M126" s="5" t="s">
        <v>18</v>
      </c>
      <c r="N126" s="3">
        <v>190.2</v>
      </c>
      <c r="O126" s="3">
        <v>33.700000000000003</v>
      </c>
      <c r="P126" s="3">
        <f t="shared" si="1"/>
        <v>228.23999999999998</v>
      </c>
      <c r="Q126" s="11"/>
      <c r="AB126" s="1" t="s">
        <v>65</v>
      </c>
      <c r="AC126" s="71" t="s">
        <v>523</v>
      </c>
      <c r="AD126" s="72">
        <v>369</v>
      </c>
      <c r="AE126" s="73">
        <v>95</v>
      </c>
      <c r="AF126" s="11">
        <v>280.89999999999998</v>
      </c>
      <c r="AG126" s="11">
        <v>57</v>
      </c>
    </row>
    <row r="127" spans="12:33" ht="15.75" x14ac:dyDescent="0.25">
      <c r="L127" s="1" t="s">
        <v>143</v>
      </c>
      <c r="M127" s="2" t="s">
        <v>144</v>
      </c>
      <c r="N127" s="11">
        <v>246.9</v>
      </c>
      <c r="O127" s="11">
        <v>47.3</v>
      </c>
      <c r="P127" s="3">
        <f t="shared" si="1"/>
        <v>296.27999999999997</v>
      </c>
      <c r="Q127" s="11"/>
      <c r="AB127" s="1" t="s">
        <v>17</v>
      </c>
      <c r="AC127" s="71" t="s">
        <v>492</v>
      </c>
      <c r="AD127" s="72">
        <v>291</v>
      </c>
      <c r="AE127" s="73">
        <v>85</v>
      </c>
      <c r="AF127" s="3">
        <v>190.2</v>
      </c>
      <c r="AG127" s="3">
        <v>33.700000000000003</v>
      </c>
    </row>
    <row r="128" spans="12:33" ht="15.75" x14ac:dyDescent="0.25">
      <c r="L128" s="1" t="s">
        <v>177</v>
      </c>
      <c r="M128" s="2" t="s">
        <v>178</v>
      </c>
      <c r="N128" s="11">
        <v>592.1</v>
      </c>
      <c r="O128" s="11">
        <v>127.4</v>
      </c>
      <c r="P128" s="3">
        <f t="shared" si="1"/>
        <v>710.52</v>
      </c>
      <c r="Q128" s="11"/>
      <c r="AB128" s="1" t="s">
        <v>143</v>
      </c>
      <c r="AC128" s="71" t="s">
        <v>524</v>
      </c>
      <c r="AD128" s="72">
        <v>381</v>
      </c>
      <c r="AE128" s="73">
        <v>116</v>
      </c>
      <c r="AF128" s="11">
        <v>246.9</v>
      </c>
      <c r="AG128" s="11">
        <v>47.3</v>
      </c>
    </row>
    <row r="129" spans="12:33" ht="15.75" x14ac:dyDescent="0.25">
      <c r="L129" s="1" t="s">
        <v>27</v>
      </c>
      <c r="M129" s="2" t="s">
        <v>28</v>
      </c>
      <c r="N129" s="3">
        <v>280.3</v>
      </c>
      <c r="O129" s="3">
        <v>53.8</v>
      </c>
      <c r="P129" s="3">
        <f t="shared" si="1"/>
        <v>336.35999999999996</v>
      </c>
      <c r="Q129" s="11"/>
      <c r="AB129" s="1" t="s">
        <v>177</v>
      </c>
      <c r="AC129" s="71" t="s">
        <v>525</v>
      </c>
      <c r="AD129" s="72">
        <v>888</v>
      </c>
      <c r="AE129" s="73">
        <v>251</v>
      </c>
      <c r="AF129" s="11">
        <v>592.1</v>
      </c>
      <c r="AG129" s="11">
        <v>127.4</v>
      </c>
    </row>
    <row r="130" spans="12:33" ht="15.75" x14ac:dyDescent="0.25">
      <c r="L130" s="1" t="s">
        <v>255</v>
      </c>
      <c r="M130" s="2" t="s">
        <v>256</v>
      </c>
      <c r="N130" s="11">
        <v>1086.2</v>
      </c>
      <c r="O130" s="11">
        <v>210.1</v>
      </c>
      <c r="P130" s="3">
        <f t="shared" si="1"/>
        <v>1303.4399999999998</v>
      </c>
      <c r="Q130" s="11"/>
      <c r="AB130" s="1" t="s">
        <v>27</v>
      </c>
      <c r="AC130" s="71" t="s">
        <v>526</v>
      </c>
      <c r="AD130" s="72">
        <v>252</v>
      </c>
      <c r="AE130" s="73">
        <v>84</v>
      </c>
      <c r="AF130" s="3">
        <v>280.3</v>
      </c>
      <c r="AG130" s="3">
        <v>53.8</v>
      </c>
    </row>
    <row r="131" spans="12:33" ht="15.75" x14ac:dyDescent="0.25">
      <c r="L131" s="1" t="s">
        <v>235</v>
      </c>
      <c r="M131" s="2" t="s">
        <v>236</v>
      </c>
      <c r="N131" s="11">
        <v>385.2</v>
      </c>
      <c r="O131" s="11">
        <v>58.1</v>
      </c>
      <c r="P131" s="3">
        <f t="shared" ref="P131:P153" si="2">N131*1000*0.12%</f>
        <v>462.23999999999995</v>
      </c>
      <c r="Q131" s="11"/>
      <c r="AB131" s="1" t="s">
        <v>255</v>
      </c>
      <c r="AC131" s="71" t="s">
        <v>527</v>
      </c>
      <c r="AD131" s="72">
        <v>1300</v>
      </c>
      <c r="AE131" s="73">
        <v>266</v>
      </c>
      <c r="AF131" s="11">
        <v>1086.2</v>
      </c>
      <c r="AG131" s="11">
        <v>210.1</v>
      </c>
    </row>
    <row r="132" spans="12:33" ht="15.75" x14ac:dyDescent="0.25">
      <c r="L132" s="15" t="s">
        <v>349</v>
      </c>
      <c r="M132" s="2" t="s">
        <v>300</v>
      </c>
      <c r="N132" s="11">
        <v>194.2</v>
      </c>
      <c r="O132" s="11">
        <v>32.200000000000003</v>
      </c>
      <c r="P132" s="3">
        <f t="shared" si="2"/>
        <v>233.04</v>
      </c>
      <c r="Q132" s="11"/>
      <c r="AB132" s="1" t="s">
        <v>235</v>
      </c>
      <c r="AC132" s="71" t="s">
        <v>528</v>
      </c>
      <c r="AD132" s="72">
        <v>404</v>
      </c>
      <c r="AE132" s="73">
        <v>86</v>
      </c>
      <c r="AF132" s="11">
        <v>385.2</v>
      </c>
      <c r="AG132" s="11">
        <v>58.1</v>
      </c>
    </row>
    <row r="133" spans="12:33" ht="15.75" x14ac:dyDescent="0.25">
      <c r="L133" s="8" t="s">
        <v>350</v>
      </c>
      <c r="M133" s="12" t="s">
        <v>67</v>
      </c>
      <c r="N133" s="4">
        <v>248.4</v>
      </c>
      <c r="O133" s="4">
        <v>44.4</v>
      </c>
      <c r="P133" s="3">
        <f t="shared" si="2"/>
        <v>298.08</v>
      </c>
      <c r="Q133" s="11"/>
      <c r="AB133" s="15" t="s">
        <v>349</v>
      </c>
      <c r="AC133" s="71" t="s">
        <v>529</v>
      </c>
      <c r="AD133" s="72">
        <v>167</v>
      </c>
      <c r="AE133" s="73">
        <v>58</v>
      </c>
      <c r="AF133" s="11">
        <v>194.2</v>
      </c>
      <c r="AG133" s="11">
        <v>32.200000000000003</v>
      </c>
    </row>
    <row r="134" spans="12:33" ht="15.75" x14ac:dyDescent="0.25">
      <c r="L134" s="1" t="s">
        <v>145</v>
      </c>
      <c r="M134" s="2" t="s">
        <v>146</v>
      </c>
      <c r="N134" s="11">
        <v>161.69999999999999</v>
      </c>
      <c r="O134" s="11">
        <v>27.1</v>
      </c>
      <c r="P134" s="3">
        <f t="shared" si="2"/>
        <v>194.04</v>
      </c>
      <c r="Q134" s="11"/>
      <c r="AB134" s="8" t="s">
        <v>350</v>
      </c>
      <c r="AC134" s="71" t="s">
        <v>530</v>
      </c>
      <c r="AD134" s="72">
        <v>231</v>
      </c>
      <c r="AE134" s="73">
        <v>101</v>
      </c>
      <c r="AF134" s="4">
        <v>248.4</v>
      </c>
      <c r="AG134" s="4">
        <v>44.4</v>
      </c>
    </row>
    <row r="135" spans="12:33" ht="15.75" x14ac:dyDescent="0.25">
      <c r="L135" s="1" t="s">
        <v>301</v>
      </c>
      <c r="M135" s="2" t="s">
        <v>302</v>
      </c>
      <c r="N135" s="11">
        <v>134.19999999999999</v>
      </c>
      <c r="O135" s="11">
        <v>35.5</v>
      </c>
      <c r="P135" s="3">
        <f t="shared" si="2"/>
        <v>161.04</v>
      </c>
      <c r="Q135" s="11"/>
      <c r="AB135" s="1" t="s">
        <v>145</v>
      </c>
      <c r="AC135" s="71" t="s">
        <v>531</v>
      </c>
      <c r="AD135" s="72">
        <v>192</v>
      </c>
      <c r="AE135" s="73">
        <v>67</v>
      </c>
      <c r="AF135" s="11">
        <v>161.69999999999999</v>
      </c>
      <c r="AG135" s="11">
        <v>27.1</v>
      </c>
    </row>
    <row r="136" spans="12:33" ht="15.75" x14ac:dyDescent="0.25">
      <c r="L136" s="1" t="s">
        <v>237</v>
      </c>
      <c r="M136" s="2" t="s">
        <v>238</v>
      </c>
      <c r="N136" s="11">
        <v>215.3</v>
      </c>
      <c r="O136" s="11">
        <v>19.5</v>
      </c>
      <c r="P136" s="3">
        <f t="shared" si="2"/>
        <v>258.35999999999996</v>
      </c>
      <c r="Q136" s="11"/>
      <c r="AB136" s="1" t="s">
        <v>301</v>
      </c>
      <c r="AC136" s="71" t="s">
        <v>532</v>
      </c>
      <c r="AD136" s="72">
        <v>242</v>
      </c>
      <c r="AE136" s="73">
        <v>76</v>
      </c>
      <c r="AF136" s="11">
        <v>134.19999999999999</v>
      </c>
      <c r="AG136" s="11">
        <v>35.5</v>
      </c>
    </row>
    <row r="137" spans="12:33" ht="15.75" x14ac:dyDescent="0.25">
      <c r="L137" s="1" t="s">
        <v>68</v>
      </c>
      <c r="M137" s="2" t="s">
        <v>69</v>
      </c>
      <c r="N137" s="11">
        <v>212.8</v>
      </c>
      <c r="O137" s="11">
        <v>39.9</v>
      </c>
      <c r="P137" s="3">
        <f t="shared" si="2"/>
        <v>255.35999999999999</v>
      </c>
      <c r="Q137" s="11"/>
      <c r="AB137" s="1" t="s">
        <v>237</v>
      </c>
      <c r="AC137" s="71" t="s">
        <v>533</v>
      </c>
      <c r="AD137" s="72">
        <v>171</v>
      </c>
      <c r="AE137" s="73">
        <v>69</v>
      </c>
      <c r="AF137" s="11">
        <v>215.3</v>
      </c>
      <c r="AG137" s="11">
        <v>19.5</v>
      </c>
    </row>
    <row r="138" spans="12:33" ht="15.75" x14ac:dyDescent="0.25">
      <c r="L138" s="1" t="s">
        <v>102</v>
      </c>
      <c r="M138" s="2" t="s">
        <v>103</v>
      </c>
      <c r="N138" s="11">
        <v>321.60000000000002</v>
      </c>
      <c r="O138" s="11">
        <v>61</v>
      </c>
      <c r="P138" s="3">
        <f t="shared" si="2"/>
        <v>385.91999999999996</v>
      </c>
      <c r="Q138" s="11"/>
      <c r="AB138" s="1" t="s">
        <v>68</v>
      </c>
      <c r="AC138" s="71" t="s">
        <v>534</v>
      </c>
      <c r="AD138" s="72">
        <v>258</v>
      </c>
      <c r="AE138" s="73">
        <v>62</v>
      </c>
      <c r="AF138" s="11">
        <v>212.8</v>
      </c>
      <c r="AG138" s="11">
        <v>39.9</v>
      </c>
    </row>
    <row r="139" spans="12:33" ht="15.75" x14ac:dyDescent="0.25">
      <c r="L139" s="1" t="s">
        <v>147</v>
      </c>
      <c r="M139" s="2" t="s">
        <v>148</v>
      </c>
      <c r="N139" s="11">
        <v>254.5</v>
      </c>
      <c r="O139" s="11">
        <v>50.9</v>
      </c>
      <c r="P139" s="3">
        <f t="shared" si="2"/>
        <v>305.39999999999998</v>
      </c>
      <c r="Q139" s="11"/>
      <c r="AB139" s="1" t="s">
        <v>102</v>
      </c>
      <c r="AC139" s="71" t="s">
        <v>535</v>
      </c>
      <c r="AD139" s="72">
        <v>458</v>
      </c>
      <c r="AE139" s="73">
        <v>141</v>
      </c>
      <c r="AF139" s="11">
        <v>321.60000000000002</v>
      </c>
      <c r="AG139" s="11">
        <v>61</v>
      </c>
    </row>
    <row r="140" spans="12:33" ht="15.75" x14ac:dyDescent="0.25">
      <c r="L140" s="1" t="s">
        <v>239</v>
      </c>
      <c r="M140" s="2" t="s">
        <v>240</v>
      </c>
      <c r="N140" s="11">
        <v>222.3</v>
      </c>
      <c r="O140" s="11">
        <v>28.5</v>
      </c>
      <c r="P140" s="3">
        <f t="shared" si="2"/>
        <v>266.76</v>
      </c>
      <c r="Q140" s="11"/>
      <c r="AB140" s="1" t="s">
        <v>147</v>
      </c>
      <c r="AC140" s="71" t="s">
        <v>536</v>
      </c>
      <c r="AD140" s="72">
        <v>296</v>
      </c>
      <c r="AE140" s="73">
        <v>101</v>
      </c>
      <c r="AF140" s="11">
        <v>254.5</v>
      </c>
      <c r="AG140" s="11">
        <v>50.9</v>
      </c>
    </row>
    <row r="141" spans="12:33" ht="15.75" x14ac:dyDescent="0.25">
      <c r="L141" s="1" t="s">
        <v>241</v>
      </c>
      <c r="M141" s="2" t="s">
        <v>242</v>
      </c>
      <c r="N141" s="11">
        <v>281.8</v>
      </c>
      <c r="O141" s="11">
        <v>31.4</v>
      </c>
      <c r="P141" s="3">
        <f t="shared" si="2"/>
        <v>338.15999999999997</v>
      </c>
      <c r="Q141" s="11"/>
      <c r="AB141" s="1" t="s">
        <v>239</v>
      </c>
      <c r="AC141" s="71" t="s">
        <v>537</v>
      </c>
      <c r="AD141" s="72">
        <v>265</v>
      </c>
      <c r="AE141" s="73">
        <v>73</v>
      </c>
      <c r="AF141" s="11">
        <v>222.3</v>
      </c>
      <c r="AG141" s="11">
        <v>28.5</v>
      </c>
    </row>
    <row r="142" spans="12:33" ht="15.75" x14ac:dyDescent="0.25">
      <c r="L142" s="1" t="s">
        <v>70</v>
      </c>
      <c r="M142" s="2" t="s">
        <v>71</v>
      </c>
      <c r="N142" s="11">
        <v>195.2</v>
      </c>
      <c r="O142" s="11">
        <v>35.6</v>
      </c>
      <c r="P142" s="3">
        <f t="shared" si="2"/>
        <v>234.23999999999998</v>
      </c>
      <c r="Q142" s="11"/>
      <c r="AB142" s="1" t="s">
        <v>241</v>
      </c>
      <c r="AC142" s="71" t="s">
        <v>538</v>
      </c>
      <c r="AD142" s="72">
        <v>201</v>
      </c>
      <c r="AE142" s="73">
        <v>74</v>
      </c>
      <c r="AF142" s="11">
        <v>281.8</v>
      </c>
      <c r="AG142" s="11">
        <v>31.4</v>
      </c>
    </row>
    <row r="143" spans="12:33" ht="15.75" x14ac:dyDescent="0.25">
      <c r="L143" s="1" t="s">
        <v>149</v>
      </c>
      <c r="M143" s="2" t="s">
        <v>150</v>
      </c>
      <c r="N143" s="11">
        <v>526.70000000000005</v>
      </c>
      <c r="O143" s="11">
        <v>107.1</v>
      </c>
      <c r="P143" s="3">
        <f t="shared" si="2"/>
        <v>632.04</v>
      </c>
      <c r="Q143" s="11"/>
      <c r="AB143" s="1" t="s">
        <v>70</v>
      </c>
      <c r="AC143" s="71" t="s">
        <v>539</v>
      </c>
      <c r="AD143" s="72">
        <v>203</v>
      </c>
      <c r="AE143" s="73">
        <v>63</v>
      </c>
      <c r="AF143" s="11">
        <v>195.2</v>
      </c>
      <c r="AG143" s="11">
        <v>35.6</v>
      </c>
    </row>
    <row r="144" spans="12:33" ht="15.75" x14ac:dyDescent="0.25">
      <c r="L144" s="1" t="s">
        <v>179</v>
      </c>
      <c r="M144" s="2" t="s">
        <v>180</v>
      </c>
      <c r="N144" s="11">
        <v>276.8</v>
      </c>
      <c r="O144" s="11">
        <v>53.1</v>
      </c>
      <c r="P144" s="3">
        <f t="shared" si="2"/>
        <v>332.15999999999997</v>
      </c>
      <c r="Q144" s="11"/>
      <c r="AB144" s="1" t="s">
        <v>149</v>
      </c>
      <c r="AC144" s="71" t="s">
        <v>540</v>
      </c>
      <c r="AD144" s="72">
        <v>540</v>
      </c>
      <c r="AE144" s="73">
        <v>171</v>
      </c>
      <c r="AF144" s="11">
        <v>526.70000000000005</v>
      </c>
      <c r="AG144" s="11">
        <v>107.1</v>
      </c>
    </row>
    <row r="145" spans="12:33" ht="15.75" x14ac:dyDescent="0.25">
      <c r="L145" s="1" t="s">
        <v>181</v>
      </c>
      <c r="M145" s="2" t="s">
        <v>182</v>
      </c>
      <c r="N145" s="11">
        <v>534</v>
      </c>
      <c r="O145" s="11">
        <v>95.5</v>
      </c>
      <c r="P145" s="3">
        <f t="shared" si="2"/>
        <v>640.79999999999995</v>
      </c>
      <c r="Q145" s="11"/>
      <c r="AB145" s="1" t="s">
        <v>179</v>
      </c>
      <c r="AC145" s="71" t="s">
        <v>541</v>
      </c>
      <c r="AD145" s="72">
        <v>368</v>
      </c>
      <c r="AE145" s="73">
        <v>82</v>
      </c>
      <c r="AF145" s="11">
        <v>276.8</v>
      </c>
      <c r="AG145" s="11">
        <v>53.1</v>
      </c>
    </row>
    <row r="146" spans="12:33" ht="15.75" x14ac:dyDescent="0.25">
      <c r="L146" s="1" t="s">
        <v>257</v>
      </c>
      <c r="M146" s="2" t="s">
        <v>258</v>
      </c>
      <c r="N146" s="11">
        <v>668.1</v>
      </c>
      <c r="O146" s="11">
        <v>129.1</v>
      </c>
      <c r="P146" s="3">
        <f t="shared" si="2"/>
        <v>801.71999999999991</v>
      </c>
      <c r="Q146" s="11"/>
      <c r="AB146" s="1" t="s">
        <v>181</v>
      </c>
      <c r="AC146" s="71" t="s">
        <v>542</v>
      </c>
      <c r="AD146" s="72">
        <v>572</v>
      </c>
      <c r="AE146" s="73">
        <v>155</v>
      </c>
      <c r="AF146" s="11">
        <v>534</v>
      </c>
      <c r="AG146" s="11">
        <v>95.5</v>
      </c>
    </row>
    <row r="147" spans="12:33" ht="15.75" x14ac:dyDescent="0.25">
      <c r="L147" s="1" t="s">
        <v>259</v>
      </c>
      <c r="M147" s="2" t="s">
        <v>260</v>
      </c>
      <c r="N147" s="11">
        <v>776.3</v>
      </c>
      <c r="O147" s="11">
        <v>183.5</v>
      </c>
      <c r="P147" s="3">
        <f t="shared" si="2"/>
        <v>931.56</v>
      </c>
      <c r="Q147" s="3"/>
      <c r="AB147" s="1" t="s">
        <v>257</v>
      </c>
      <c r="AC147" s="71" t="s">
        <v>543</v>
      </c>
      <c r="AD147" s="72">
        <v>777</v>
      </c>
      <c r="AE147" s="73">
        <v>183</v>
      </c>
      <c r="AF147" s="11">
        <v>668.1</v>
      </c>
      <c r="AG147" s="11">
        <v>129.1</v>
      </c>
    </row>
    <row r="148" spans="12:33" ht="15.75" x14ac:dyDescent="0.25">
      <c r="L148" s="1" t="s">
        <v>72</v>
      </c>
      <c r="M148" s="2" t="s">
        <v>73</v>
      </c>
      <c r="N148" s="11">
        <v>235.8</v>
      </c>
      <c r="O148" s="11">
        <v>50.7</v>
      </c>
      <c r="P148" s="3">
        <f t="shared" si="2"/>
        <v>282.95999999999998</v>
      </c>
      <c r="Q148" s="11"/>
      <c r="AB148" s="1" t="s">
        <v>259</v>
      </c>
      <c r="AC148" s="71" t="s">
        <v>544</v>
      </c>
      <c r="AD148" s="72">
        <v>1111</v>
      </c>
      <c r="AE148" s="73">
        <v>235</v>
      </c>
      <c r="AF148" s="11">
        <v>776.3</v>
      </c>
      <c r="AG148" s="11">
        <v>183.5</v>
      </c>
    </row>
    <row r="149" spans="12:33" ht="15.75" x14ac:dyDescent="0.25">
      <c r="L149" s="1" t="s">
        <v>243</v>
      </c>
      <c r="M149" s="2" t="s">
        <v>244</v>
      </c>
      <c r="N149" s="11">
        <v>234.1</v>
      </c>
      <c r="O149" s="11">
        <v>30.6</v>
      </c>
      <c r="P149" s="3">
        <f t="shared" si="2"/>
        <v>280.91999999999996</v>
      </c>
      <c r="Q149" s="3"/>
      <c r="AB149" s="1" t="s">
        <v>72</v>
      </c>
      <c r="AC149" s="71" t="s">
        <v>545</v>
      </c>
      <c r="AD149" s="72">
        <v>244</v>
      </c>
      <c r="AE149" s="73">
        <v>94</v>
      </c>
      <c r="AF149" s="11">
        <v>235.8</v>
      </c>
      <c r="AG149" s="11">
        <v>50.7</v>
      </c>
    </row>
    <row r="150" spans="12:33" ht="15.75" x14ac:dyDescent="0.25">
      <c r="L150" s="1" t="s">
        <v>303</v>
      </c>
      <c r="M150" s="2" t="s">
        <v>304</v>
      </c>
      <c r="N150" s="11">
        <v>452.6</v>
      </c>
      <c r="O150" s="11">
        <v>93.1</v>
      </c>
      <c r="P150" s="3">
        <f t="shared" si="2"/>
        <v>543.12</v>
      </c>
      <c r="Q150" s="11"/>
      <c r="AB150" s="1" t="s">
        <v>243</v>
      </c>
      <c r="AC150" s="71" t="s">
        <v>546</v>
      </c>
      <c r="AD150" s="72">
        <v>168</v>
      </c>
      <c r="AE150" s="73">
        <v>60</v>
      </c>
      <c r="AF150" s="11">
        <v>234.1</v>
      </c>
      <c r="AG150" s="11">
        <v>30.6</v>
      </c>
    </row>
    <row r="151" spans="12:33" ht="15.75" x14ac:dyDescent="0.25">
      <c r="L151" s="1" t="s">
        <v>74</v>
      </c>
      <c r="M151" s="2" t="s">
        <v>75</v>
      </c>
      <c r="N151" s="11">
        <v>310.2</v>
      </c>
      <c r="O151" s="11">
        <v>67.400000000000006</v>
      </c>
      <c r="P151" s="3">
        <f t="shared" si="2"/>
        <v>372.23999999999995</v>
      </c>
      <c r="Q151" s="11"/>
      <c r="AB151" s="1" t="s">
        <v>303</v>
      </c>
      <c r="AC151" s="71" t="s">
        <v>547</v>
      </c>
      <c r="AD151" s="72">
        <v>540</v>
      </c>
      <c r="AE151" s="73">
        <v>112</v>
      </c>
      <c r="AF151" s="11">
        <v>452.6</v>
      </c>
      <c r="AG151" s="11">
        <v>93.1</v>
      </c>
    </row>
    <row r="152" spans="12:33" ht="15.75" x14ac:dyDescent="0.25">
      <c r="L152" s="1" t="s">
        <v>151</v>
      </c>
      <c r="M152" s="2" t="s">
        <v>152</v>
      </c>
      <c r="N152" s="11">
        <v>236</v>
      </c>
      <c r="O152" s="11">
        <v>46.1</v>
      </c>
      <c r="P152" s="3">
        <f t="shared" si="2"/>
        <v>283.2</v>
      </c>
      <c r="Q152" s="11"/>
      <c r="AB152" s="1" t="s">
        <v>74</v>
      </c>
      <c r="AC152" s="71" t="s">
        <v>548</v>
      </c>
      <c r="AD152" s="72">
        <v>540</v>
      </c>
      <c r="AE152" s="73">
        <v>150</v>
      </c>
      <c r="AF152" s="11">
        <v>310.2</v>
      </c>
      <c r="AG152" s="11">
        <v>67.400000000000006</v>
      </c>
    </row>
    <row r="153" spans="12:33" ht="15.75" x14ac:dyDescent="0.25">
      <c r="L153" s="1" t="s">
        <v>153</v>
      </c>
      <c r="M153" s="2" t="s">
        <v>154</v>
      </c>
      <c r="N153" s="11">
        <v>555.4</v>
      </c>
      <c r="O153" s="11">
        <v>117.5</v>
      </c>
      <c r="P153" s="3">
        <f t="shared" si="2"/>
        <v>666.4799999999999</v>
      </c>
      <c r="Q153" s="11"/>
      <c r="AB153" s="1" t="s">
        <v>151</v>
      </c>
      <c r="AC153" s="71" t="s">
        <v>549</v>
      </c>
      <c r="AD153" s="72">
        <v>306</v>
      </c>
      <c r="AE153" s="73">
        <v>85</v>
      </c>
      <c r="AF153" s="11">
        <v>236</v>
      </c>
      <c r="AG153" s="11">
        <v>46.1</v>
      </c>
    </row>
    <row r="154" spans="12:33" ht="15.75" x14ac:dyDescent="0.25">
      <c r="L154" s="1"/>
      <c r="M154" s="2"/>
      <c r="N154" s="3"/>
      <c r="O154" s="3"/>
      <c r="P154" s="3"/>
      <c r="Q154" s="3"/>
      <c r="AB154" s="1" t="s">
        <v>153</v>
      </c>
      <c r="AC154" s="71" t="s">
        <v>550</v>
      </c>
      <c r="AD154" s="72">
        <v>639</v>
      </c>
      <c r="AE154" s="73">
        <v>153</v>
      </c>
      <c r="AF154" s="11">
        <v>555.4</v>
      </c>
      <c r="AG154" s="11">
        <v>117.5</v>
      </c>
    </row>
    <row r="155" spans="12:33" ht="15.75" x14ac:dyDescent="0.25">
      <c r="L155" s="6"/>
      <c r="M155" s="2"/>
      <c r="N155" s="7"/>
      <c r="O155" s="7"/>
      <c r="P155" s="7"/>
      <c r="Q155" s="7"/>
    </row>
    <row r="156" spans="12:33" ht="15.75" x14ac:dyDescent="0.25">
      <c r="L156" s="1"/>
      <c r="M156" s="2"/>
      <c r="N156" s="11"/>
      <c r="O156" s="11"/>
      <c r="P156" s="11"/>
      <c r="Q156" s="11"/>
    </row>
    <row r="157" spans="12:33" ht="15.75" x14ac:dyDescent="0.25">
      <c r="L157" s="13"/>
      <c r="M157" s="2"/>
      <c r="N157" s="14"/>
      <c r="O157" s="14"/>
      <c r="P157" s="14"/>
      <c r="Q157" s="14"/>
    </row>
    <row r="158" spans="12:33" ht="15.75" x14ac:dyDescent="0.25">
      <c r="L158" s="1"/>
      <c r="M158" s="2"/>
      <c r="N158" s="11"/>
      <c r="O158" s="11"/>
      <c r="P158" s="11"/>
      <c r="Q158" s="11"/>
    </row>
    <row r="159" spans="12:33" ht="15.75" x14ac:dyDescent="0.25">
      <c r="L159" s="13"/>
      <c r="M159" s="2"/>
      <c r="N159" s="14"/>
      <c r="O159" s="14"/>
      <c r="P159" s="14"/>
      <c r="Q159" s="14"/>
    </row>
    <row r="160" spans="12:33" ht="15.75" x14ac:dyDescent="0.25">
      <c r="L160" s="1"/>
      <c r="M160" s="2"/>
      <c r="N160" s="11"/>
      <c r="O160" s="11"/>
      <c r="P160" s="11"/>
      <c r="Q160" s="11"/>
    </row>
    <row r="161" spans="12:17" ht="15.75" x14ac:dyDescent="0.25">
      <c r="L161" s="6"/>
      <c r="M161" s="2"/>
      <c r="N161" s="14"/>
      <c r="O161" s="14"/>
      <c r="P161" s="14"/>
      <c r="Q161" s="14"/>
    </row>
    <row r="162" spans="12:17" ht="15.75" x14ac:dyDescent="0.25">
      <c r="L162" s="1"/>
      <c r="M162" s="2"/>
      <c r="N162" s="11"/>
      <c r="O162" s="11"/>
      <c r="P162" s="11"/>
      <c r="Q162" s="11"/>
    </row>
    <row r="163" spans="12:17" ht="15.75" x14ac:dyDescent="0.25">
      <c r="L163" s="6"/>
      <c r="M163" s="2"/>
      <c r="N163" s="14"/>
      <c r="O163" s="14"/>
      <c r="P163" s="14"/>
      <c r="Q163" s="14"/>
    </row>
    <row r="164" spans="12:17" ht="15.75" x14ac:dyDescent="0.25">
      <c r="L164" s="1"/>
      <c r="M164" s="2"/>
      <c r="N164" s="11"/>
      <c r="O164" s="11"/>
      <c r="P164" s="11"/>
      <c r="Q164" s="11"/>
    </row>
    <row r="165" spans="12:17" ht="15.75" x14ac:dyDescent="0.25">
      <c r="L165" s="6"/>
      <c r="M165" s="2"/>
      <c r="N165" s="14"/>
      <c r="O165" s="14"/>
      <c r="P165" s="14"/>
      <c r="Q165" s="14"/>
    </row>
    <row r="166" spans="12:17" ht="15.75" x14ac:dyDescent="0.25">
      <c r="L166" s="1"/>
      <c r="M166" s="2"/>
      <c r="N166" s="11"/>
      <c r="O166" s="11"/>
      <c r="P166" s="11"/>
      <c r="Q166" s="11"/>
    </row>
    <row r="167" spans="12:17" ht="15.75" x14ac:dyDescent="0.25">
      <c r="L167" s="13"/>
      <c r="M167" s="2"/>
      <c r="N167" s="11"/>
      <c r="O167" s="11"/>
      <c r="P167" s="11"/>
      <c r="Q167" s="11"/>
    </row>
    <row r="168" spans="12:17" ht="15.75" x14ac:dyDescent="0.25">
      <c r="L168" s="10"/>
      <c r="M168" s="2"/>
      <c r="N168" s="11"/>
      <c r="O168" s="11"/>
      <c r="P168" s="11"/>
      <c r="Q168" s="11"/>
    </row>
    <row r="169" spans="12:17" ht="15.75" x14ac:dyDescent="0.25">
      <c r="L169" s="13"/>
      <c r="M169" s="2"/>
      <c r="N169" s="11"/>
      <c r="O169" s="11"/>
      <c r="P169" s="11"/>
      <c r="Q169" s="11"/>
    </row>
    <row r="170" spans="12:17" ht="15.75" x14ac:dyDescent="0.25">
      <c r="L170" s="1"/>
      <c r="M170" s="2"/>
      <c r="N170" s="11"/>
      <c r="O170" s="11"/>
      <c r="P170" s="11"/>
      <c r="Q170" s="11"/>
    </row>
    <row r="171" spans="12:17" ht="15.75" x14ac:dyDescent="0.25">
      <c r="L171" s="6"/>
      <c r="M171" s="2"/>
      <c r="N171" s="11"/>
      <c r="O171" s="11"/>
      <c r="P171" s="11"/>
      <c r="Q171" s="11"/>
    </row>
  </sheetData>
  <sheetProtection selectLockedCells="1"/>
  <mergeCells count="7">
    <mergeCell ref="C14:F14"/>
    <mergeCell ref="C12:F12"/>
    <mergeCell ref="C2:F2"/>
    <mergeCell ref="C4:F4"/>
    <mergeCell ref="C6:F6"/>
    <mergeCell ref="C8:F8"/>
    <mergeCell ref="C10:F10"/>
  </mergeCells>
  <dataValidations count="3">
    <dataValidation type="list" allowBlank="1" showInputMessage="1" showErrorMessage="1" sqref="C2">
      <formula1>$L$2:$L$153</formula1>
    </dataValidation>
    <dataValidation type="list" allowBlank="1" showInputMessage="1" showErrorMessage="1" sqref="C4">
      <formula1>$R$2:$R$3</formula1>
    </dataValidation>
    <dataValidation type="list" allowBlank="1" showInputMessage="1" showErrorMessage="1" sqref="C6">
      <formula1>$S$2:$S$5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2:F64"/>
  <sheetViews>
    <sheetView showGridLines="0" showRowColHeaders="0" zoomScaleNormal="100" workbookViewId="0">
      <selection activeCell="B1" sqref="B1"/>
    </sheetView>
  </sheetViews>
  <sheetFormatPr defaultRowHeight="15" x14ac:dyDescent="0.25"/>
  <cols>
    <col min="2" max="2" width="20.42578125" bestFit="1" customWidth="1"/>
    <col min="3" max="3" width="44.140625" bestFit="1" customWidth="1"/>
    <col min="4" max="4" width="45.140625" bestFit="1" customWidth="1"/>
    <col min="5" max="5" width="40.28515625" bestFit="1" customWidth="1"/>
    <col min="6" max="6" width="12.5703125" bestFit="1" customWidth="1"/>
  </cols>
  <sheetData>
    <row r="2" spans="2:6" x14ac:dyDescent="0.25">
      <c r="B2" s="85" t="s">
        <v>330</v>
      </c>
      <c r="C2" s="85"/>
    </row>
    <row r="3" spans="2:6" x14ac:dyDescent="0.25">
      <c r="B3" s="19"/>
      <c r="C3" s="19"/>
    </row>
    <row r="4" spans="2:6" x14ac:dyDescent="0.25">
      <c r="C4" s="22" t="s">
        <v>310</v>
      </c>
      <c r="D4" s="22" t="s">
        <v>325</v>
      </c>
      <c r="E4" s="22" t="s">
        <v>326</v>
      </c>
      <c r="F4" s="22" t="s">
        <v>2</v>
      </c>
    </row>
    <row r="5" spans="2:6" x14ac:dyDescent="0.25">
      <c r="B5" s="23" t="s">
        <v>336</v>
      </c>
      <c r="C5" s="30">
        <v>1</v>
      </c>
      <c r="D5" s="76">
        <v>0.8</v>
      </c>
      <c r="E5" s="76">
        <v>1.2</v>
      </c>
      <c r="F5" s="30"/>
    </row>
    <row r="6" spans="2:6" x14ac:dyDescent="0.25">
      <c r="B6" s="23" t="s">
        <v>337</v>
      </c>
      <c r="C6" s="30">
        <v>1</v>
      </c>
      <c r="D6" s="76">
        <v>0.8</v>
      </c>
      <c r="E6" s="76">
        <v>1.2</v>
      </c>
      <c r="F6" s="30"/>
    </row>
    <row r="7" spans="2:6" x14ac:dyDescent="0.25">
      <c r="B7" s="23" t="s">
        <v>386</v>
      </c>
      <c r="C7" s="30">
        <v>0.4</v>
      </c>
      <c r="D7" s="76">
        <v>0.3</v>
      </c>
      <c r="E7" s="76">
        <v>0.5</v>
      </c>
      <c r="F7" s="30"/>
    </row>
    <row r="8" spans="2:6" x14ac:dyDescent="0.25">
      <c r="B8" s="23" t="s">
        <v>338</v>
      </c>
      <c r="C8" s="30">
        <v>0.6</v>
      </c>
      <c r="D8" s="76">
        <v>0.5</v>
      </c>
      <c r="E8" s="76">
        <v>0.7</v>
      </c>
      <c r="F8" s="30"/>
    </row>
    <row r="9" spans="2:6" x14ac:dyDescent="0.25">
      <c r="B9" s="23" t="s">
        <v>317</v>
      </c>
      <c r="C9" s="30">
        <v>0.25</v>
      </c>
      <c r="D9" s="76">
        <v>0.2</v>
      </c>
      <c r="E9" s="76">
        <v>0.3</v>
      </c>
      <c r="F9" s="30"/>
    </row>
    <row r="10" spans="2:6" x14ac:dyDescent="0.25">
      <c r="B10" s="23" t="s">
        <v>309</v>
      </c>
      <c r="C10" s="30">
        <v>0.25</v>
      </c>
      <c r="D10" s="76">
        <v>0.2</v>
      </c>
      <c r="E10" s="76">
        <v>0.3</v>
      </c>
      <c r="F10" s="30"/>
    </row>
    <row r="11" spans="2:6" x14ac:dyDescent="0.25">
      <c r="B11" s="23" t="s">
        <v>320</v>
      </c>
      <c r="C11" s="86">
        <v>0.1</v>
      </c>
      <c r="D11" s="86"/>
      <c r="E11" s="86"/>
      <c r="F11" s="30"/>
    </row>
    <row r="12" spans="2:6" x14ac:dyDescent="0.25">
      <c r="C12" s="18"/>
      <c r="D12" s="18"/>
      <c r="E12" s="18"/>
    </row>
    <row r="13" spans="2:6" x14ac:dyDescent="0.25">
      <c r="B13" s="85" t="s">
        <v>332</v>
      </c>
      <c r="C13" s="85"/>
      <c r="D13" s="18"/>
      <c r="E13" s="18"/>
    </row>
    <row r="14" spans="2:6" x14ac:dyDescent="0.25">
      <c r="C14" s="18"/>
      <c r="D14" s="18"/>
      <c r="E14" s="18"/>
    </row>
    <row r="15" spans="2:6" x14ac:dyDescent="0.25">
      <c r="C15" s="22" t="s">
        <v>310</v>
      </c>
      <c r="D15" s="22" t="s">
        <v>325</v>
      </c>
      <c r="E15" s="22" t="s">
        <v>326</v>
      </c>
    </row>
    <row r="16" spans="2:6" x14ac:dyDescent="0.25">
      <c r="B16" s="23" t="s">
        <v>336</v>
      </c>
      <c r="C16" s="77" t="s">
        <v>311</v>
      </c>
      <c r="D16" s="77" t="s">
        <v>313</v>
      </c>
      <c r="E16" s="77" t="s">
        <v>316</v>
      </c>
    </row>
    <row r="17" spans="2:6" x14ac:dyDescent="0.25">
      <c r="B17" s="23" t="s">
        <v>337</v>
      </c>
      <c r="C17" s="77" t="s">
        <v>311</v>
      </c>
      <c r="D17" s="77" t="s">
        <v>313</v>
      </c>
      <c r="E17" s="77" t="s">
        <v>312</v>
      </c>
    </row>
    <row r="18" spans="2:6" x14ac:dyDescent="0.25">
      <c r="B18" s="23" t="s">
        <v>386</v>
      </c>
      <c r="C18" s="77" t="s">
        <v>311</v>
      </c>
      <c r="D18" s="77" t="s">
        <v>313</v>
      </c>
      <c r="E18" s="77" t="s">
        <v>312</v>
      </c>
    </row>
    <row r="19" spans="2:6" x14ac:dyDescent="0.25">
      <c r="B19" s="23" t="s">
        <v>338</v>
      </c>
      <c r="C19" s="77" t="s">
        <v>314</v>
      </c>
      <c r="D19" s="77" t="s">
        <v>315</v>
      </c>
      <c r="E19" s="77" t="s">
        <v>314</v>
      </c>
    </row>
    <row r="20" spans="2:6" x14ac:dyDescent="0.25">
      <c r="B20" s="23" t="s">
        <v>317</v>
      </c>
      <c r="C20" s="77" t="s">
        <v>318</v>
      </c>
      <c r="D20" s="77" t="s">
        <v>319</v>
      </c>
      <c r="E20" s="77" t="s">
        <v>323</v>
      </c>
    </row>
    <row r="21" spans="2:6" x14ac:dyDescent="0.25">
      <c r="B21" s="23" t="s">
        <v>309</v>
      </c>
      <c r="C21" s="77" t="s">
        <v>321</v>
      </c>
      <c r="D21" s="77" t="s">
        <v>322</v>
      </c>
      <c r="E21" s="77" t="s">
        <v>324</v>
      </c>
    </row>
    <row r="22" spans="2:6" x14ac:dyDescent="0.25">
      <c r="B22" s="23" t="s">
        <v>320</v>
      </c>
      <c r="C22" s="83" t="s">
        <v>329</v>
      </c>
      <c r="D22" s="83"/>
      <c r="E22" s="83"/>
    </row>
    <row r="24" spans="2:6" x14ac:dyDescent="0.25">
      <c r="B24" s="85" t="s">
        <v>328</v>
      </c>
      <c r="C24" s="85"/>
    </row>
    <row r="25" spans="2:6" x14ac:dyDescent="0.25">
      <c r="B25" s="19"/>
      <c r="C25" s="19"/>
    </row>
    <row r="26" spans="2:6" x14ac:dyDescent="0.25">
      <c r="B26" s="17" t="s">
        <v>331</v>
      </c>
      <c r="C26" s="18"/>
      <c r="D26" s="18"/>
      <c r="E26" s="18"/>
    </row>
    <row r="27" spans="2:6" x14ac:dyDescent="0.25">
      <c r="C27" s="22" t="s">
        <v>327</v>
      </c>
      <c r="D27" s="22" t="s">
        <v>325</v>
      </c>
      <c r="E27" s="22" t="s">
        <v>326</v>
      </c>
      <c r="F27" s="22" t="s">
        <v>2</v>
      </c>
    </row>
    <row r="28" spans="2:6" x14ac:dyDescent="0.25">
      <c r="B28" s="23" t="s">
        <v>336</v>
      </c>
      <c r="C28" s="27">
        <v>47977</v>
      </c>
      <c r="D28" s="27">
        <v>40409</v>
      </c>
      <c r="E28" s="27">
        <v>54926</v>
      </c>
      <c r="F28" s="27"/>
    </row>
    <row r="29" spans="2:6" x14ac:dyDescent="0.25">
      <c r="B29" s="23" t="s">
        <v>337</v>
      </c>
      <c r="C29" s="27">
        <v>47977</v>
      </c>
      <c r="D29" s="27">
        <v>40409</v>
      </c>
      <c r="E29" s="27">
        <v>54926</v>
      </c>
      <c r="F29" s="27"/>
    </row>
    <row r="30" spans="2:6" x14ac:dyDescent="0.25">
      <c r="B30" s="23" t="s">
        <v>386</v>
      </c>
      <c r="C30" s="75">
        <v>47977</v>
      </c>
      <c r="D30" s="27">
        <v>40409</v>
      </c>
      <c r="E30" s="27">
        <v>54926</v>
      </c>
      <c r="F30" s="27"/>
    </row>
    <row r="31" spans="2:6" x14ac:dyDescent="0.25">
      <c r="B31" s="23" t="s">
        <v>338</v>
      </c>
      <c r="C31" s="27">
        <v>48541</v>
      </c>
      <c r="D31" s="27">
        <v>26401</v>
      </c>
      <c r="E31" s="27">
        <v>48541</v>
      </c>
      <c r="F31" s="27"/>
    </row>
    <row r="32" spans="2:6" x14ac:dyDescent="0.25">
      <c r="B32" s="23" t="s">
        <v>317</v>
      </c>
      <c r="C32" s="27">
        <v>45292.500000000007</v>
      </c>
      <c r="D32" s="27">
        <v>38831.100000000006</v>
      </c>
      <c r="E32" s="27">
        <v>51751.700000000004</v>
      </c>
      <c r="F32" s="27"/>
    </row>
    <row r="33" spans="2:6" x14ac:dyDescent="0.25">
      <c r="B33" s="23" t="s">
        <v>309</v>
      </c>
      <c r="C33" s="27">
        <v>30812</v>
      </c>
      <c r="D33" s="27">
        <v>28213</v>
      </c>
      <c r="E33" s="27">
        <v>33413</v>
      </c>
      <c r="F33" s="27"/>
    </row>
    <row r="34" spans="2:6" x14ac:dyDescent="0.25">
      <c r="B34" s="23" t="s">
        <v>320</v>
      </c>
      <c r="C34" s="84">
        <v>213965</v>
      </c>
      <c r="D34" s="84"/>
      <c r="E34" s="84"/>
      <c r="F34" s="27"/>
    </row>
    <row r="35" spans="2:6" x14ac:dyDescent="0.25">
      <c r="C35" s="18"/>
      <c r="D35" s="18"/>
      <c r="E35" s="18"/>
    </row>
    <row r="36" spans="2:6" x14ac:dyDescent="0.25">
      <c r="B36" s="17" t="s">
        <v>333</v>
      </c>
      <c r="C36" s="18"/>
      <c r="D36" s="18"/>
      <c r="E36" s="18"/>
    </row>
    <row r="37" spans="2:6" x14ac:dyDescent="0.25">
      <c r="C37" s="22" t="s">
        <v>327</v>
      </c>
      <c r="D37" s="22" t="s">
        <v>325</v>
      </c>
      <c r="E37" s="22" t="s">
        <v>326</v>
      </c>
      <c r="F37" s="22" t="s">
        <v>2</v>
      </c>
    </row>
    <row r="38" spans="2:6" x14ac:dyDescent="0.25">
      <c r="B38" s="23" t="s">
        <v>336</v>
      </c>
      <c r="C38" s="27">
        <v>46533</v>
      </c>
      <c r="D38" s="54">
        <v>40065</v>
      </c>
      <c r="E38" s="54">
        <v>53144</v>
      </c>
      <c r="F38" s="27"/>
    </row>
    <row r="39" spans="2:6" x14ac:dyDescent="0.25">
      <c r="B39" s="23" t="s">
        <v>337</v>
      </c>
      <c r="C39" s="27">
        <v>46533</v>
      </c>
      <c r="D39" s="54">
        <v>40065</v>
      </c>
      <c r="E39" s="54">
        <v>53144</v>
      </c>
      <c r="F39" s="27"/>
    </row>
    <row r="40" spans="2:6" x14ac:dyDescent="0.25">
      <c r="B40" s="23" t="s">
        <v>386</v>
      </c>
      <c r="C40" s="27">
        <v>46533</v>
      </c>
      <c r="D40" s="54">
        <v>40065</v>
      </c>
      <c r="E40" s="54">
        <v>53144</v>
      </c>
      <c r="F40" s="27"/>
    </row>
    <row r="41" spans="2:6" x14ac:dyDescent="0.25">
      <c r="B41" s="23" t="s">
        <v>338</v>
      </c>
      <c r="C41" s="27">
        <v>47097</v>
      </c>
      <c r="D41" s="54">
        <v>26702</v>
      </c>
      <c r="E41" s="54">
        <v>47097</v>
      </c>
      <c r="F41" s="27"/>
    </row>
    <row r="42" spans="2:6" x14ac:dyDescent="0.25">
      <c r="B42" s="23" t="s">
        <v>317</v>
      </c>
      <c r="C42" s="75">
        <v>45292.500000000007</v>
      </c>
      <c r="D42" s="75">
        <v>38831.100000000006</v>
      </c>
      <c r="E42" s="75">
        <v>51751.700000000004</v>
      </c>
      <c r="F42" s="27"/>
    </row>
    <row r="43" spans="2:6" x14ac:dyDescent="0.25">
      <c r="B43" s="23" t="s">
        <v>309</v>
      </c>
      <c r="C43" s="54">
        <v>34968</v>
      </c>
      <c r="D43" s="54">
        <v>32369</v>
      </c>
      <c r="E43" s="54">
        <v>37569</v>
      </c>
      <c r="F43" s="27"/>
    </row>
    <row r="44" spans="2:6" x14ac:dyDescent="0.25">
      <c r="B44" s="23" t="s">
        <v>320</v>
      </c>
      <c r="C44" s="84">
        <v>212183</v>
      </c>
      <c r="D44" s="84"/>
      <c r="E44" s="84"/>
      <c r="F44" s="27"/>
    </row>
    <row r="45" spans="2:6" x14ac:dyDescent="0.25">
      <c r="C45" s="18"/>
      <c r="D45" s="18"/>
      <c r="E45" s="18"/>
    </row>
    <row r="46" spans="2:6" x14ac:dyDescent="0.25">
      <c r="B46" s="17" t="s">
        <v>334</v>
      </c>
      <c r="C46" s="18"/>
      <c r="D46" s="18"/>
      <c r="E46" s="18"/>
    </row>
    <row r="47" spans="2:6" x14ac:dyDescent="0.25">
      <c r="C47" s="22" t="s">
        <v>327</v>
      </c>
      <c r="D47" s="22" t="s">
        <v>325</v>
      </c>
      <c r="E47" s="22" t="s">
        <v>326</v>
      </c>
      <c r="F47" s="22" t="s">
        <v>2</v>
      </c>
    </row>
    <row r="48" spans="2:6" x14ac:dyDescent="0.25">
      <c r="B48" s="23" t="s">
        <v>336</v>
      </c>
      <c r="C48" s="27">
        <v>43784</v>
      </c>
      <c r="D48" s="27">
        <v>37049</v>
      </c>
      <c r="E48" s="27">
        <v>50532</v>
      </c>
      <c r="F48" s="27"/>
    </row>
    <row r="49" spans="2:6" x14ac:dyDescent="0.25">
      <c r="B49" s="23" t="s">
        <v>337</v>
      </c>
      <c r="C49" s="27">
        <v>43784</v>
      </c>
      <c r="D49" s="27">
        <v>37049</v>
      </c>
      <c r="E49" s="27">
        <v>50532</v>
      </c>
      <c r="F49" s="27"/>
    </row>
    <row r="50" spans="2:6" x14ac:dyDescent="0.25">
      <c r="B50" s="23" t="s">
        <v>386</v>
      </c>
      <c r="C50" s="27">
        <v>43784</v>
      </c>
      <c r="D50" s="27">
        <v>37049</v>
      </c>
      <c r="E50" s="27">
        <v>50532</v>
      </c>
      <c r="F50" s="27"/>
    </row>
    <row r="51" spans="2:6" x14ac:dyDescent="0.25">
      <c r="B51" s="23" t="s">
        <v>338</v>
      </c>
      <c r="C51" s="27">
        <v>44348</v>
      </c>
      <c r="D51" s="27">
        <v>23437</v>
      </c>
      <c r="E51" s="27">
        <v>44348</v>
      </c>
      <c r="F51" s="27"/>
    </row>
    <row r="52" spans="2:6" x14ac:dyDescent="0.25">
      <c r="B52" s="23" t="s">
        <v>317</v>
      </c>
      <c r="C52" s="27">
        <v>45292.500000000007</v>
      </c>
      <c r="D52" s="75">
        <v>38831.100000000006</v>
      </c>
      <c r="E52" s="75">
        <v>51751.700000000004</v>
      </c>
      <c r="F52" s="27"/>
    </row>
    <row r="53" spans="2:6" x14ac:dyDescent="0.25">
      <c r="B53" s="23" t="s">
        <v>309</v>
      </c>
      <c r="C53" s="27">
        <v>30812</v>
      </c>
      <c r="D53" s="27">
        <v>28213</v>
      </c>
      <c r="E53" s="27">
        <v>33413</v>
      </c>
      <c r="F53" s="27"/>
    </row>
    <row r="54" spans="2:6" x14ac:dyDescent="0.25">
      <c r="B54" s="23" t="s">
        <v>320</v>
      </c>
      <c r="C54" s="84">
        <v>209571</v>
      </c>
      <c r="D54" s="84"/>
      <c r="E54" s="84"/>
      <c r="F54" s="27"/>
    </row>
    <row r="55" spans="2:6" x14ac:dyDescent="0.25">
      <c r="C55" s="59"/>
    </row>
    <row r="56" spans="2:6" x14ac:dyDescent="0.25">
      <c r="B56" s="17" t="s">
        <v>335</v>
      </c>
      <c r="C56" s="18"/>
      <c r="D56" s="18"/>
      <c r="E56" s="18"/>
    </row>
    <row r="57" spans="2:6" x14ac:dyDescent="0.25">
      <c r="C57" s="22" t="s">
        <v>327</v>
      </c>
      <c r="D57" s="22" t="s">
        <v>325</v>
      </c>
      <c r="E57" s="22" t="s">
        <v>326</v>
      </c>
      <c r="F57" s="22" t="s">
        <v>2</v>
      </c>
    </row>
    <row r="58" spans="2:6" x14ac:dyDescent="0.25">
      <c r="B58" s="23" t="s">
        <v>336</v>
      </c>
      <c r="C58" s="27">
        <v>42377</v>
      </c>
      <c r="D58" s="27">
        <v>35909</v>
      </c>
      <c r="E58" s="27">
        <v>48988</v>
      </c>
      <c r="F58" s="27"/>
    </row>
    <row r="59" spans="2:6" x14ac:dyDescent="0.25">
      <c r="B59" s="23" t="s">
        <v>337</v>
      </c>
      <c r="C59" s="27">
        <v>42377</v>
      </c>
      <c r="D59" s="27">
        <v>35909</v>
      </c>
      <c r="E59" s="27">
        <v>48988</v>
      </c>
      <c r="F59" s="27"/>
    </row>
    <row r="60" spans="2:6" x14ac:dyDescent="0.25">
      <c r="B60" s="23" t="s">
        <v>386</v>
      </c>
      <c r="C60" s="27">
        <v>42377</v>
      </c>
      <c r="D60" s="27">
        <v>35909</v>
      </c>
      <c r="E60" s="27">
        <v>48988</v>
      </c>
      <c r="F60" s="27"/>
    </row>
    <row r="61" spans="2:6" x14ac:dyDescent="0.25">
      <c r="B61" s="23" t="s">
        <v>338</v>
      </c>
      <c r="C61" s="27">
        <v>42941</v>
      </c>
      <c r="D61" s="27">
        <v>22546</v>
      </c>
      <c r="E61" s="27">
        <v>42941</v>
      </c>
      <c r="F61" s="27"/>
    </row>
    <row r="62" spans="2:6" x14ac:dyDescent="0.25">
      <c r="B62" s="23" t="s">
        <v>317</v>
      </c>
      <c r="C62" s="27">
        <v>41175</v>
      </c>
      <c r="D62" s="27">
        <v>35301</v>
      </c>
      <c r="E62" s="27">
        <v>47047</v>
      </c>
      <c r="F62" s="27"/>
    </row>
    <row r="63" spans="2:6" x14ac:dyDescent="0.25">
      <c r="B63" s="23" t="s">
        <v>309</v>
      </c>
      <c r="C63" s="27">
        <v>30812</v>
      </c>
      <c r="D63" s="27">
        <v>28213</v>
      </c>
      <c r="E63" s="27">
        <v>33413</v>
      </c>
      <c r="F63" s="27"/>
    </row>
    <row r="64" spans="2:6" x14ac:dyDescent="0.25">
      <c r="B64" s="23" t="s">
        <v>320</v>
      </c>
      <c r="C64" s="84">
        <v>208027</v>
      </c>
      <c r="D64" s="84"/>
      <c r="E64" s="84"/>
      <c r="F64" s="27"/>
    </row>
  </sheetData>
  <mergeCells count="9">
    <mergeCell ref="C54:E54"/>
    <mergeCell ref="C64:E64"/>
    <mergeCell ref="B24:C24"/>
    <mergeCell ref="B2:C2"/>
    <mergeCell ref="C11:E11"/>
    <mergeCell ref="B13:C13"/>
    <mergeCell ref="C22:E22"/>
    <mergeCell ref="C34:E34"/>
    <mergeCell ref="C44:E4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2:F28"/>
  <sheetViews>
    <sheetView showGridLines="0" showRowColHeaders="0" topLeftCell="A3" workbookViewId="0">
      <selection activeCell="C27" sqref="C27"/>
    </sheetView>
  </sheetViews>
  <sheetFormatPr defaultRowHeight="15" x14ac:dyDescent="0.25"/>
  <cols>
    <col min="2" max="2" width="20.42578125" bestFit="1" customWidth="1"/>
    <col min="3" max="3" width="44.140625" bestFit="1" customWidth="1"/>
    <col min="4" max="4" width="45.140625" bestFit="1" customWidth="1"/>
    <col min="5" max="5" width="40.28515625" bestFit="1" customWidth="1"/>
    <col min="6" max="6" width="12.5703125" bestFit="1" customWidth="1"/>
  </cols>
  <sheetData>
    <row r="2" spans="2:6" x14ac:dyDescent="0.25">
      <c r="B2" s="85" t="s">
        <v>363</v>
      </c>
      <c r="C2" s="85"/>
    </row>
    <row r="3" spans="2:6" x14ac:dyDescent="0.25">
      <c r="B3" s="31"/>
      <c r="C3" s="31"/>
    </row>
    <row r="4" spans="2:6" x14ac:dyDescent="0.25">
      <c r="C4" s="22" t="s">
        <v>310</v>
      </c>
      <c r="D4" s="22" t="s">
        <v>325</v>
      </c>
      <c r="E4" s="22" t="s">
        <v>326</v>
      </c>
      <c r="F4" s="22" t="s">
        <v>2</v>
      </c>
    </row>
    <row r="5" spans="2:6" x14ac:dyDescent="0.25">
      <c r="B5" s="23" t="s">
        <v>336</v>
      </c>
      <c r="C5" s="32">
        <v>1</v>
      </c>
      <c r="D5" s="76">
        <v>0.8</v>
      </c>
      <c r="E5" s="76">
        <v>1.2</v>
      </c>
      <c r="F5" s="32"/>
    </row>
    <row r="6" spans="2:6" x14ac:dyDescent="0.25">
      <c r="C6" s="18"/>
      <c r="D6" s="18"/>
      <c r="E6" s="18"/>
    </row>
    <row r="7" spans="2:6" x14ac:dyDescent="0.25">
      <c r="B7" s="85" t="s">
        <v>364</v>
      </c>
      <c r="C7" s="85"/>
      <c r="D7" s="18"/>
      <c r="E7" s="18"/>
    </row>
    <row r="8" spans="2:6" x14ac:dyDescent="0.25">
      <c r="C8" s="18"/>
      <c r="D8" s="18"/>
      <c r="E8" s="18"/>
    </row>
    <row r="9" spans="2:6" x14ac:dyDescent="0.25">
      <c r="C9" s="22" t="s">
        <v>310</v>
      </c>
      <c r="D9" s="22" t="s">
        <v>325</v>
      </c>
      <c r="E9" s="22" t="s">
        <v>326</v>
      </c>
    </row>
    <row r="10" spans="2:6" x14ac:dyDescent="0.25">
      <c r="B10" s="23" t="s">
        <v>336</v>
      </c>
      <c r="C10" s="77" t="s">
        <v>311</v>
      </c>
      <c r="D10" s="77" t="s">
        <v>313</v>
      </c>
      <c r="E10" s="77" t="s">
        <v>316</v>
      </c>
    </row>
    <row r="12" spans="2:6" x14ac:dyDescent="0.25">
      <c r="B12" s="85" t="s">
        <v>328</v>
      </c>
      <c r="C12" s="85"/>
    </row>
    <row r="13" spans="2:6" x14ac:dyDescent="0.25">
      <c r="B13" s="31"/>
      <c r="C13" s="31"/>
    </row>
    <row r="14" spans="2:6" x14ac:dyDescent="0.25">
      <c r="B14" s="17" t="s">
        <v>331</v>
      </c>
      <c r="C14" s="18"/>
      <c r="D14" s="18"/>
      <c r="E14" s="18"/>
    </row>
    <row r="15" spans="2:6" x14ac:dyDescent="0.25">
      <c r="C15" s="22" t="s">
        <v>310</v>
      </c>
      <c r="D15" s="22" t="s">
        <v>325</v>
      </c>
      <c r="E15" s="22" t="s">
        <v>326</v>
      </c>
      <c r="F15" s="22" t="s">
        <v>2</v>
      </c>
    </row>
    <row r="16" spans="2:6" x14ac:dyDescent="0.25">
      <c r="B16" s="23" t="s">
        <v>336</v>
      </c>
      <c r="C16" s="34">
        <v>47977</v>
      </c>
      <c r="D16" s="34">
        <v>40409</v>
      </c>
      <c r="E16" s="34">
        <v>54926</v>
      </c>
      <c r="F16" s="34"/>
    </row>
    <row r="17" spans="2:6" x14ac:dyDescent="0.25">
      <c r="C17" s="18"/>
      <c r="D17" s="18"/>
      <c r="E17" s="18"/>
    </row>
    <row r="18" spans="2:6" x14ac:dyDescent="0.25">
      <c r="B18" s="17" t="s">
        <v>333</v>
      </c>
      <c r="C18" s="18"/>
      <c r="D18" s="18"/>
      <c r="E18" s="18"/>
    </row>
    <row r="19" spans="2:6" x14ac:dyDescent="0.25">
      <c r="C19" s="22" t="s">
        <v>310</v>
      </c>
      <c r="D19" s="22" t="s">
        <v>325</v>
      </c>
      <c r="E19" s="22" t="s">
        <v>326</v>
      </c>
      <c r="F19" s="22" t="s">
        <v>2</v>
      </c>
    </row>
    <row r="20" spans="2:6" x14ac:dyDescent="0.25">
      <c r="B20" s="23" t="s">
        <v>336</v>
      </c>
      <c r="C20" s="34">
        <v>46533</v>
      </c>
      <c r="D20" s="34">
        <v>35909</v>
      </c>
      <c r="E20" s="34">
        <v>53144</v>
      </c>
      <c r="F20" s="34"/>
    </row>
    <row r="21" spans="2:6" x14ac:dyDescent="0.25">
      <c r="C21" s="18"/>
      <c r="D21" s="18"/>
      <c r="E21" s="18"/>
    </row>
    <row r="22" spans="2:6" x14ac:dyDescent="0.25">
      <c r="B22" s="17" t="s">
        <v>334</v>
      </c>
      <c r="C22" s="18"/>
      <c r="D22" s="18"/>
      <c r="E22" s="18"/>
    </row>
    <row r="23" spans="2:6" x14ac:dyDescent="0.25">
      <c r="C23" s="22" t="s">
        <v>310</v>
      </c>
      <c r="D23" s="22" t="s">
        <v>325</v>
      </c>
      <c r="E23" s="22" t="s">
        <v>326</v>
      </c>
      <c r="F23" s="22" t="s">
        <v>2</v>
      </c>
    </row>
    <row r="24" spans="2:6" x14ac:dyDescent="0.25">
      <c r="B24" s="23" t="s">
        <v>336</v>
      </c>
      <c r="C24" s="34">
        <v>43784</v>
      </c>
      <c r="D24" s="34">
        <v>37049</v>
      </c>
      <c r="E24" s="34">
        <v>50532</v>
      </c>
      <c r="F24" s="34"/>
    </row>
    <row r="26" spans="2:6" x14ac:dyDescent="0.25">
      <c r="B26" s="17" t="s">
        <v>335</v>
      </c>
      <c r="C26" s="18"/>
      <c r="D26" s="18"/>
      <c r="E26" s="18"/>
    </row>
    <row r="27" spans="2:6" x14ac:dyDescent="0.25">
      <c r="C27" s="22" t="s">
        <v>310</v>
      </c>
      <c r="D27" s="22" t="s">
        <v>325</v>
      </c>
      <c r="E27" s="22" t="s">
        <v>326</v>
      </c>
      <c r="F27" s="22" t="s">
        <v>2</v>
      </c>
    </row>
    <row r="28" spans="2:6" x14ac:dyDescent="0.25">
      <c r="B28" s="23" t="s">
        <v>336</v>
      </c>
      <c r="C28" s="34">
        <v>42377</v>
      </c>
      <c r="D28" s="34">
        <v>35909</v>
      </c>
      <c r="E28" s="34">
        <v>48988</v>
      </c>
      <c r="F28" s="34"/>
    </row>
  </sheetData>
  <mergeCells count="3">
    <mergeCell ref="B2:C2"/>
    <mergeCell ref="B7:C7"/>
    <mergeCell ref="B12:C1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C2:G29"/>
  <sheetViews>
    <sheetView showGridLines="0" showRowColHeaders="0" topLeftCell="A3" workbookViewId="0">
      <selection activeCell="C25" sqref="C25"/>
    </sheetView>
  </sheetViews>
  <sheetFormatPr defaultRowHeight="15" x14ac:dyDescent="0.25"/>
  <cols>
    <col min="2" max="2" width="16.5703125" bestFit="1" customWidth="1"/>
    <col min="3" max="3" width="17.28515625" customWidth="1"/>
    <col min="4" max="5" width="12.85546875" customWidth="1"/>
    <col min="6" max="7" width="12.5703125" bestFit="1" customWidth="1"/>
  </cols>
  <sheetData>
    <row r="2" spans="3:7" x14ac:dyDescent="0.25">
      <c r="C2" s="17" t="s">
        <v>370</v>
      </c>
    </row>
    <row r="4" spans="3:7" x14ac:dyDescent="0.25">
      <c r="C4" s="44" t="s">
        <v>382</v>
      </c>
    </row>
    <row r="5" spans="3:7" x14ac:dyDescent="0.25">
      <c r="D5" s="46" t="s">
        <v>354</v>
      </c>
      <c r="E5" s="46" t="s">
        <v>307</v>
      </c>
      <c r="F5" s="46" t="s">
        <v>308</v>
      </c>
      <c r="G5" s="47" t="s">
        <v>2</v>
      </c>
    </row>
    <row r="6" spans="3:7" x14ac:dyDescent="0.25">
      <c r="C6" s="20" t="s">
        <v>1</v>
      </c>
      <c r="D6" s="42">
        <v>0.45</v>
      </c>
      <c r="E6" s="42">
        <v>0.17</v>
      </c>
      <c r="F6" s="42">
        <v>0.72</v>
      </c>
      <c r="G6" s="20"/>
    </row>
    <row r="7" spans="3:7" x14ac:dyDescent="0.25">
      <c r="C7" s="20" t="s">
        <v>341</v>
      </c>
      <c r="D7" s="42">
        <v>0.37</v>
      </c>
      <c r="E7" s="42">
        <v>0.09</v>
      </c>
      <c r="F7" s="42">
        <v>0.64</v>
      </c>
      <c r="G7" s="20"/>
    </row>
    <row r="9" spans="3:7" x14ac:dyDescent="0.25">
      <c r="C9" s="44" t="s">
        <v>383</v>
      </c>
    </row>
    <row r="10" spans="3:7" x14ac:dyDescent="0.25">
      <c r="D10" s="46" t="s">
        <v>354</v>
      </c>
      <c r="E10" s="46" t="s">
        <v>307</v>
      </c>
      <c r="F10" s="46" t="s">
        <v>308</v>
      </c>
      <c r="G10" s="47" t="s">
        <v>2</v>
      </c>
    </row>
    <row r="11" spans="3:7" x14ac:dyDescent="0.25">
      <c r="C11" s="51"/>
      <c r="D11" s="78">
        <v>0.37</v>
      </c>
      <c r="E11" s="78">
        <v>0.09</v>
      </c>
      <c r="F11" s="78">
        <v>0.64</v>
      </c>
      <c r="G11" s="20"/>
    </row>
    <row r="12" spans="3:7" x14ac:dyDescent="0.25">
      <c r="C12" s="51"/>
      <c r="D12" s="52"/>
      <c r="E12" s="52"/>
      <c r="F12" s="52"/>
      <c r="G12" s="51"/>
    </row>
    <row r="13" spans="3:7" x14ac:dyDescent="0.25">
      <c r="C13" s="17" t="s">
        <v>361</v>
      </c>
    </row>
    <row r="15" spans="3:7" x14ac:dyDescent="0.25">
      <c r="C15" s="44" t="s">
        <v>340</v>
      </c>
    </row>
    <row r="16" spans="3:7" x14ac:dyDescent="0.25">
      <c r="D16" s="33" t="s">
        <v>354</v>
      </c>
      <c r="E16" s="33" t="s">
        <v>307</v>
      </c>
      <c r="F16" s="33" t="s">
        <v>308</v>
      </c>
      <c r="G16" s="20" t="s">
        <v>2</v>
      </c>
    </row>
    <row r="17" spans="3:7" x14ac:dyDescent="0.25">
      <c r="C17" s="20" t="s">
        <v>1</v>
      </c>
      <c r="D17" s="33">
        <v>9</v>
      </c>
      <c r="E17" s="77">
        <v>8</v>
      </c>
      <c r="F17" s="77">
        <v>10</v>
      </c>
      <c r="G17" s="20"/>
    </row>
    <row r="18" spans="3:7" x14ac:dyDescent="0.25">
      <c r="C18" s="20" t="s">
        <v>341</v>
      </c>
      <c r="D18" s="36">
        <v>9</v>
      </c>
      <c r="E18" s="77">
        <v>8</v>
      </c>
      <c r="F18" s="77">
        <v>10</v>
      </c>
      <c r="G18" s="20"/>
    </row>
    <row r="20" spans="3:7" x14ac:dyDescent="0.25">
      <c r="C20" s="44" t="s">
        <v>377</v>
      </c>
    </row>
    <row r="21" spans="3:7" x14ac:dyDescent="0.25">
      <c r="D21" s="42" t="s">
        <v>354</v>
      </c>
      <c r="E21" s="33" t="s">
        <v>307</v>
      </c>
      <c r="F21" s="33" t="s">
        <v>308</v>
      </c>
      <c r="G21" s="20" t="s">
        <v>2</v>
      </c>
    </row>
    <row r="22" spans="3:7" x14ac:dyDescent="0.25">
      <c r="C22" s="20" t="s">
        <v>1</v>
      </c>
      <c r="D22" s="42">
        <v>0.04</v>
      </c>
      <c r="E22" s="42">
        <v>0.01</v>
      </c>
      <c r="F22" s="42">
        <v>0.08</v>
      </c>
      <c r="G22" s="20"/>
    </row>
    <row r="23" spans="3:7" x14ac:dyDescent="0.25">
      <c r="C23" s="20" t="s">
        <v>341</v>
      </c>
      <c r="D23" s="42">
        <v>0.04</v>
      </c>
      <c r="E23" s="42">
        <v>0.01</v>
      </c>
      <c r="F23" s="42">
        <v>0.08</v>
      </c>
      <c r="G23" s="20"/>
    </row>
    <row r="25" spans="3:7" x14ac:dyDescent="0.25">
      <c r="C25" s="17" t="s">
        <v>367</v>
      </c>
    </row>
    <row r="27" spans="3:7" x14ac:dyDescent="0.25">
      <c r="C27" s="44" t="s">
        <v>371</v>
      </c>
    </row>
    <row r="28" spans="3:7" x14ac:dyDescent="0.25">
      <c r="D28" s="33" t="s">
        <v>354</v>
      </c>
      <c r="E28" s="33" t="s">
        <v>307</v>
      </c>
      <c r="F28" s="33" t="s">
        <v>308</v>
      </c>
      <c r="G28" s="20" t="s">
        <v>2</v>
      </c>
    </row>
    <row r="29" spans="3:7" x14ac:dyDescent="0.25">
      <c r="D29" s="43">
        <v>4</v>
      </c>
      <c r="E29" s="43">
        <v>3</v>
      </c>
      <c r="F29" s="43">
        <v>5</v>
      </c>
      <c r="G29" s="20"/>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2:M23"/>
  <sheetViews>
    <sheetView showGridLines="0" showRowColHeaders="0" workbookViewId="0">
      <selection activeCell="R29" sqref="R29"/>
    </sheetView>
  </sheetViews>
  <sheetFormatPr defaultRowHeight="15" x14ac:dyDescent="0.25"/>
  <cols>
    <col min="2" max="2" width="38.5703125" bestFit="1" customWidth="1"/>
    <col min="3" max="3" width="16.42578125" style="18" bestFit="1" customWidth="1"/>
    <col min="4" max="6" width="15.140625" style="18" customWidth="1"/>
    <col min="10" max="17" width="0" hidden="1" customWidth="1"/>
  </cols>
  <sheetData>
    <row r="2" spans="2:13" x14ac:dyDescent="0.25">
      <c r="B2" s="88" t="s">
        <v>552</v>
      </c>
      <c r="C2" s="88"/>
      <c r="D2" s="88"/>
    </row>
    <row r="3" spans="2:13" x14ac:dyDescent="0.25">
      <c r="C3" s="61" t="s">
        <v>394</v>
      </c>
      <c r="D3" s="61" t="s">
        <v>2</v>
      </c>
      <c r="L3" s="36" t="s">
        <v>369</v>
      </c>
      <c r="M3" s="49" t="s">
        <v>379</v>
      </c>
    </row>
    <row r="4" spans="2:13" x14ac:dyDescent="0.25">
      <c r="B4" s="51"/>
      <c r="C4" s="62">
        <v>140</v>
      </c>
      <c r="D4" s="62"/>
      <c r="L4" s="62">
        <f t="shared" ref="L4:M6" si="0">$C$4</f>
        <v>140</v>
      </c>
      <c r="M4" s="62">
        <f t="shared" si="0"/>
        <v>140</v>
      </c>
    </row>
    <row r="5" spans="2:13" x14ac:dyDescent="0.25">
      <c r="L5" s="62">
        <f t="shared" si="0"/>
        <v>140</v>
      </c>
      <c r="M5" s="62">
        <f t="shared" si="0"/>
        <v>140</v>
      </c>
    </row>
    <row r="6" spans="2:13" x14ac:dyDescent="0.25">
      <c r="K6" s="20" t="s">
        <v>1</v>
      </c>
      <c r="L6" s="62">
        <f t="shared" si="0"/>
        <v>140</v>
      </c>
      <c r="M6" s="35">
        <f t="shared" si="0"/>
        <v>140</v>
      </c>
    </row>
    <row r="7" spans="2:13" x14ac:dyDescent="0.25">
      <c r="B7" s="74" t="s">
        <v>380</v>
      </c>
    </row>
    <row r="8" spans="2:13" x14ac:dyDescent="0.25">
      <c r="C8" s="46" t="s">
        <v>368</v>
      </c>
      <c r="D8" s="46" t="s">
        <v>325</v>
      </c>
      <c r="E8" s="46" t="s">
        <v>326</v>
      </c>
      <c r="F8" s="46" t="s">
        <v>2</v>
      </c>
    </row>
    <row r="9" spans="2:13" x14ac:dyDescent="0.25">
      <c r="B9" s="20" t="s">
        <v>381</v>
      </c>
      <c r="C9" s="48">
        <v>813.95999999999992</v>
      </c>
      <c r="D9" s="79">
        <v>650.93999999999994</v>
      </c>
      <c r="E9" s="79">
        <v>976.9799999999999</v>
      </c>
      <c r="F9" s="49"/>
    </row>
    <row r="10" spans="2:13" x14ac:dyDescent="0.25">
      <c r="B10" s="20" t="s">
        <v>335</v>
      </c>
      <c r="C10" s="48">
        <v>714</v>
      </c>
      <c r="D10" s="79">
        <v>571</v>
      </c>
      <c r="E10" s="79">
        <v>857</v>
      </c>
      <c r="F10" s="48"/>
    </row>
    <row r="12" spans="2:13" x14ac:dyDescent="0.25">
      <c r="B12" s="63" t="s">
        <v>393</v>
      </c>
      <c r="C12"/>
      <c r="D12"/>
      <c r="E12"/>
    </row>
    <row r="13" spans="2:13" x14ac:dyDescent="0.25">
      <c r="C13"/>
      <c r="D13" s="64" t="s">
        <v>394</v>
      </c>
      <c r="E13" s="25" t="s">
        <v>395</v>
      </c>
    </row>
    <row r="14" spans="2:13" ht="31.5" customHeight="1" x14ac:dyDescent="0.25">
      <c r="B14" s="87" t="s">
        <v>396</v>
      </c>
      <c r="C14" s="87"/>
      <c r="D14" s="60">
        <v>3000</v>
      </c>
      <c r="E14" s="20"/>
      <c r="F14" s="66"/>
    </row>
    <row r="15" spans="2:13" x14ac:dyDescent="0.25">
      <c r="C15" s="65"/>
      <c r="D15" s="65"/>
      <c r="E15" s="65"/>
      <c r="F15" s="65"/>
    </row>
    <row r="19" spans="3:4" x14ac:dyDescent="0.25">
      <c r="C19" s="55"/>
    </row>
    <row r="23" spans="3:4" x14ac:dyDescent="0.25">
      <c r="D23" s="55"/>
    </row>
  </sheetData>
  <mergeCells count="2">
    <mergeCell ref="B14:C14"/>
    <mergeCell ref="B2:D2"/>
  </mergeCells>
  <pageMargins left="0.7" right="0.7" top="0.75" bottom="0.75" header="0.3" footer="0.3"/>
  <pageSetup orientation="portrait" horizontalDpi="4294967293"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2:F31"/>
  <sheetViews>
    <sheetView showGridLines="0" showRowColHeaders="0" workbookViewId="0">
      <selection activeCell="B24" sqref="B24"/>
    </sheetView>
  </sheetViews>
  <sheetFormatPr defaultRowHeight="15" x14ac:dyDescent="0.25"/>
  <cols>
    <col min="1" max="1" width="16.5703125" bestFit="1" customWidth="1"/>
    <col min="2" max="2" width="52.28515625" bestFit="1" customWidth="1"/>
    <col min="3" max="6" width="15.28515625" customWidth="1"/>
  </cols>
  <sheetData>
    <row r="2" spans="2:6" x14ac:dyDescent="0.25">
      <c r="B2" s="39" t="s">
        <v>375</v>
      </c>
    </row>
    <row r="3" spans="2:6" x14ac:dyDescent="0.25">
      <c r="C3" s="25" t="s">
        <v>310</v>
      </c>
      <c r="D3" s="25" t="s">
        <v>325</v>
      </c>
      <c r="E3" s="25" t="s">
        <v>326</v>
      </c>
      <c r="F3" s="25" t="s">
        <v>2</v>
      </c>
    </row>
    <row r="4" spans="2:6" ht="18" customHeight="1" x14ac:dyDescent="0.25">
      <c r="B4" s="37" t="s">
        <v>372</v>
      </c>
      <c r="C4" s="21">
        <f>CHOOSE('Input Sheet'!$X$2,ROUND('Outcome Assumptions'!D6*'Input Sheet'!$C$12,0),ROUND('Outcome Assumptions'!D7*'Input Sheet'!$C$12,0))</f>
        <v>317</v>
      </c>
      <c r="D4" s="36">
        <f>CHOOSE('Input Sheet'!$X$2,ROUND('Outcome Assumptions'!E6*'Input Sheet'!$C$12,0),ROUND('Outcome Assumptions'!E7*'Input Sheet'!$C$12,0))</f>
        <v>77</v>
      </c>
      <c r="E4" s="36">
        <f>CHOOSE('Input Sheet'!$X$2,ROUND('Outcome Assumptions'!F6*'Input Sheet'!$C$12,0),ROUND('Outcome Assumptions'!F7*'Input Sheet'!$C$12,0))</f>
        <v>548</v>
      </c>
      <c r="F4" s="36">
        <f>CHOOSE('Input Sheet'!$X$2,ROUND('Outcome Assumptions'!G6*'Input Sheet'!$C$12,0),ROUND('Outcome Assumptions'!G7*'Input Sheet'!$C$12,0))</f>
        <v>0</v>
      </c>
    </row>
    <row r="5" spans="2:6" x14ac:dyDescent="0.25">
      <c r="B5" s="38" t="s">
        <v>353</v>
      </c>
      <c r="C5" s="28">
        <f>C4*CHOOSE('Input Sheet'!$X$2,'Outcome Assumptions'!D17,'Outcome Assumptions'!D18)</f>
        <v>2853</v>
      </c>
      <c r="D5" s="28">
        <f>D4*CHOOSE('Input Sheet'!$X$2,'Outcome Assumptions'!E17,'Outcome Assumptions'!E18)</f>
        <v>616</v>
      </c>
      <c r="E5" s="28">
        <f>E4*CHOOSE('Input Sheet'!$X$2,'Outcome Assumptions'!F17,'Outcome Assumptions'!F18)</f>
        <v>5480</v>
      </c>
      <c r="F5" s="28">
        <f>F4*CHOOSE('Input Sheet'!$X$2,'Outcome Assumptions'!G17,'Outcome Assumptions'!G18)</f>
        <v>0</v>
      </c>
    </row>
    <row r="6" spans="2:6" x14ac:dyDescent="0.25">
      <c r="B6" s="38" t="s">
        <v>355</v>
      </c>
      <c r="C6" s="41">
        <f>C4*CHOOSE('Input Sheet'!$X$2,'Outcome Assumptions'!D22,'Outcome Assumptions'!D23)</f>
        <v>12.68</v>
      </c>
      <c r="D6" s="41">
        <f>D4*CHOOSE('Input Sheet'!$X$2,'Outcome Assumptions'!E22,'Outcome Assumptions'!E23)</f>
        <v>0.77</v>
      </c>
      <c r="E6" s="41">
        <f>E4*CHOOSE('Input Sheet'!$X$2,'Outcome Assumptions'!F22,'Outcome Assumptions'!F23)</f>
        <v>43.84</v>
      </c>
      <c r="F6" s="41">
        <f>F4*CHOOSE('Input Sheet'!$X$2,'Outcome Assumptions'!G22,'Outcome Assumptions'!G23)</f>
        <v>0</v>
      </c>
    </row>
    <row r="8" spans="2:6" x14ac:dyDescent="0.25">
      <c r="B8" s="40" t="s">
        <v>339</v>
      </c>
    </row>
    <row r="9" spans="2:6" x14ac:dyDescent="0.25">
      <c r="C9" s="25" t="s">
        <v>310</v>
      </c>
      <c r="D9" s="25" t="s">
        <v>365</v>
      </c>
      <c r="E9" s="25" t="s">
        <v>366</v>
      </c>
      <c r="F9" s="25" t="s">
        <v>2</v>
      </c>
    </row>
    <row r="10" spans="2:6" x14ac:dyDescent="0.25">
      <c r="B10" s="24" t="s">
        <v>336</v>
      </c>
      <c r="C10" s="21">
        <f>ROUNDUP($C$4/100*'Staff. Assumptions - Ear.Disch.'!C5,1)</f>
        <v>3.2</v>
      </c>
      <c r="D10" s="33">
        <f>ROUNDUP($C$4/100*'Staff. Assumptions - Ear.Disch.'!D5,1)</f>
        <v>2.6</v>
      </c>
      <c r="E10" s="33">
        <f>ROUNDUP($C$4/100*'Staff. Assumptions - Ear.Disch.'!E5,1)</f>
        <v>3.9</v>
      </c>
      <c r="F10" s="21">
        <f>ROUNDUP($F$4/100*'Staff. Assumptions - Ear.Disch.'!F5,1)</f>
        <v>0</v>
      </c>
    </row>
    <row r="11" spans="2:6" x14ac:dyDescent="0.25">
      <c r="B11" s="24" t="s">
        <v>337</v>
      </c>
      <c r="C11" s="33">
        <f>ROUNDUP($C$4/100*'Staff. Assumptions - Ear.Disch.'!C6,1)</f>
        <v>3.2</v>
      </c>
      <c r="D11" s="33">
        <f>ROUNDUP($C$4/100*'Staff. Assumptions - Ear.Disch.'!D6,1)</f>
        <v>2.6</v>
      </c>
      <c r="E11" s="33">
        <f>ROUNDUP($C$4/100*'Staff. Assumptions - Ear.Disch.'!E6,1)</f>
        <v>3.9</v>
      </c>
      <c r="F11" s="36">
        <f>ROUNDUP($F$4/100*'Staff. Assumptions - Ear.Disch.'!F6,1)</f>
        <v>0</v>
      </c>
    </row>
    <row r="12" spans="2:6" x14ac:dyDescent="0.25">
      <c r="B12" s="24" t="s">
        <v>386</v>
      </c>
      <c r="C12" s="33">
        <f>ROUNDUP($C$4/100*'Staff. Assumptions - Ear.Disch.'!C7,1)</f>
        <v>1.3</v>
      </c>
      <c r="D12" s="33">
        <f>ROUNDUP($C$4/100*'Staff. Assumptions - Ear.Disch.'!D7,1)</f>
        <v>1</v>
      </c>
      <c r="E12" s="33">
        <f>ROUNDUP($C$4/100*'Staff. Assumptions - Ear.Disch.'!E7,1)</f>
        <v>1.6</v>
      </c>
      <c r="F12" s="36">
        <f>ROUNDUP($F$4/100*'Staff. Assumptions - Ear.Disch.'!F7,1)</f>
        <v>0</v>
      </c>
    </row>
    <row r="13" spans="2:6" x14ac:dyDescent="0.25">
      <c r="B13" s="24" t="s">
        <v>338</v>
      </c>
      <c r="C13" s="33">
        <f>ROUNDUP($C$4/100*'Staff. Assumptions - Ear.Disch.'!C8,1)</f>
        <v>2</v>
      </c>
      <c r="D13" s="33">
        <f>ROUNDUP($C$4/100*'Staff. Assumptions - Ear.Disch.'!D8,1)</f>
        <v>1.6</v>
      </c>
      <c r="E13" s="33">
        <f>ROUNDUP($C$4/100*'Staff. Assumptions - Ear.Disch.'!E8,1)</f>
        <v>2.3000000000000003</v>
      </c>
      <c r="F13" s="36">
        <f>ROUNDUP($F$4/100*'Staff. Assumptions - Ear.Disch.'!F8,1)</f>
        <v>0</v>
      </c>
    </row>
    <row r="14" spans="2:6" x14ac:dyDescent="0.25">
      <c r="B14" s="24" t="s">
        <v>317</v>
      </c>
      <c r="C14" s="33">
        <f>ROUNDUP($C$4/100*'Staff. Assumptions - Ear.Disch.'!C9,1)</f>
        <v>0.79999999999999993</v>
      </c>
      <c r="D14" s="33">
        <f>ROUNDUP($C$4/100*'Staff. Assumptions - Ear.Disch.'!D9,1)</f>
        <v>0.7</v>
      </c>
      <c r="E14" s="33">
        <f>ROUNDUP($C$4/100*'Staff. Assumptions - Ear.Disch.'!E9,1)</f>
        <v>1</v>
      </c>
      <c r="F14" s="36">
        <f>ROUNDUP($F$4/100*'Staff. Assumptions - Ear.Disch.'!F9,1)</f>
        <v>0</v>
      </c>
    </row>
    <row r="15" spans="2:6" x14ac:dyDescent="0.25">
      <c r="B15" s="24" t="s">
        <v>309</v>
      </c>
      <c r="C15" s="33">
        <f>ROUNDUP($C$4/100*'Staff. Assumptions - Ear.Disch.'!C10,1)</f>
        <v>0.79999999999999993</v>
      </c>
      <c r="D15" s="33">
        <f>ROUNDUP($C$4/100*'Staff. Assumptions - Ear.Disch.'!D10,1)</f>
        <v>0.7</v>
      </c>
      <c r="E15" s="33">
        <f>ROUNDUP($C$4/100*'Staff. Assumptions - Ear.Disch.'!E10,1)</f>
        <v>1</v>
      </c>
      <c r="F15" s="36">
        <f>ROUNDUP($F$4/100*'Staff. Assumptions - Ear.Disch.'!F10,1)</f>
        <v>0</v>
      </c>
    </row>
    <row r="16" spans="2:6" x14ac:dyDescent="0.25">
      <c r="B16" s="24" t="s">
        <v>320</v>
      </c>
      <c r="C16" s="21">
        <f>ROUND($C$4/100*'Staff. Assumptions - Ear.Disch.'!$C$11,2)</f>
        <v>0.32</v>
      </c>
      <c r="D16" s="36">
        <f>ROUND($C$4/100*'Staff. Assumptions - Ear.Disch.'!$C$11,2)</f>
        <v>0.32</v>
      </c>
      <c r="E16" s="36">
        <f>ROUND($C$4/100*'Staff. Assumptions - Ear.Disch.'!$C$11,2)</f>
        <v>0.32</v>
      </c>
      <c r="F16" s="21">
        <f>ROUND(F4/100*'Staff. Assumptions - Ear.Disch.'!F11,2)</f>
        <v>0</v>
      </c>
    </row>
    <row r="18" spans="2:6" x14ac:dyDescent="0.25">
      <c r="B18" s="26" t="s">
        <v>356</v>
      </c>
    </row>
    <row r="19" spans="2:6" x14ac:dyDescent="0.25">
      <c r="C19" s="25" t="s">
        <v>310</v>
      </c>
      <c r="D19" s="25" t="s">
        <v>4</v>
      </c>
      <c r="E19" s="25" t="s">
        <v>3</v>
      </c>
      <c r="F19" s="25" t="s">
        <v>2</v>
      </c>
    </row>
    <row r="20" spans="2:6" x14ac:dyDescent="0.25">
      <c r="B20" s="29" t="s">
        <v>357</v>
      </c>
      <c r="C20" s="27">
        <f>CHOOSE('Input Sheet'!W2,SUMPRODUCT(C10:C15,'Staff. Assumptions - Ear.Disch.'!C28:C33)+C16*'Staff. Assumptions - Ear.Disch.'!$C$34,SUMPRODUCT(C10:C15,'Staff. Assumptions - Ear.Disch.'!C38:C43)+C16*'Staff. Assumptions - Ear.Disch.'!$C$44,SUMPRODUCT(C10:C15,'Staff. Assumptions - Ear.Disch.'!C48:C53)+C16*'Staff. Assumptions - Ear.Disch.'!$C$54,SUMPRODUCT(C10:C15,'Staff. Assumptions - Ear.Disch.'!C58:C63)+C16*'Staff. Assumptions - Ear.Disch.'!$C$64)</f>
        <v>536343.1399999999</v>
      </c>
      <c r="D20" s="27">
        <f>CHOOSE('Input Sheet'!W2,SUMPRODUCT(D10:D15,'Staff. Assumptions - Ear.Disch.'!D28:D33)+D16*'Staff. Assumptions - Ear.Disch.'!$C$34,SUMPRODUCT(D10:D15,'Staff. Assumptions - Ear.Disch.'!D38:D43)+D16*'Staff. Assumptions - Ear.Disch.'!$C$44,SUMPRODUCT(D10:D15,'Staff. Assumptions - Ear.Disch.'!D48:D53)+D16*'Staff. Assumptions - Ear.Disch.'!$C$54,SUMPRODUCT(D10:D15,'Staff. Assumptions - Ear.Disch.'!D58:D63)+D16*'Staff. Assumptions - Ear.Disch.'!$C$64)</f>
        <v>369737.84</v>
      </c>
      <c r="E20" s="27">
        <f>CHOOSE('Input Sheet'!W2,SUMPRODUCT(E10:E15,'Staff. Assumptions - Ear.Disch.'!E28:E33)+E16*'Staff. Assumptions - Ear.Disch.'!$C$34,SUMPRODUCT(E10:E15,'Staff. Assumptions - Ear.Disch.'!E38:E43)+E16*'Staff. Assumptions - Ear.Disch.'!$C$44,SUMPRODUCT(E10:E15,'Staff. Assumptions - Ear.Disch.'!E48:E53)+E16*'Staff. Assumptions - Ear.Disch.'!$C$54,SUMPRODUCT(E10:E15,'Staff. Assumptions - Ear.Disch.'!E58:E63)+E16*'Staff. Assumptions - Ear.Disch.'!$C$64)</f>
        <v>706280.14</v>
      </c>
      <c r="F20" s="27">
        <f>F10*CHOOSE('Input Sheet'!W2,SUMPRODUCT(F10:F15,'Staff. Assumptions - Ear.Disch.'!F28:F33)+F16*'Staff. Assumptions - Ear.Disch.'!$F$34,SUMPRODUCT(F10:F15,'Staff. Assumptions - Ear.Disch.'!F38:F43)+F16*'Staff. Assumptions - Ear.Disch.'!$F$44,SUMPRODUCT(F10:F15,'Staff. Assumptions - Ear.Disch.'!F48:F53)+F16*'Staff. Assumptions - Ear.Disch.'!$F$54,SUMPRODUCT(F10:F15,'Staff. Assumptions - Ear.Disch.'!F58:F63)+F16*'Staff. Assumptions - Ear.Disch.'!$F$64)</f>
        <v>0</v>
      </c>
    </row>
    <row r="21" spans="2:6" x14ac:dyDescent="0.25">
      <c r="B21" s="20" t="s">
        <v>553</v>
      </c>
      <c r="C21" s="27">
        <f>CHOOSE('Input Sheet'!X2,C5*'Cost Assumptions'!L6,C5*'Cost Assumptions'!C4)</f>
        <v>399420</v>
      </c>
      <c r="D21" s="34">
        <f>CHOOSE('Input Sheet'!X2,C5*'Cost Assumptions'!M5,C5*'Cost Assumptions'!M4)</f>
        <v>399420</v>
      </c>
      <c r="E21" s="34">
        <f>CHOOSE('Input Sheet'!X2,C5*'Cost Assumptions'!L5,C5*'Cost Assumptions'!L4)</f>
        <v>399420</v>
      </c>
      <c r="F21" s="34">
        <f>CHOOSE('Input Sheet'!X2,F5*'Cost Assumptions'!M6,F5*'Cost Assumptions'!D4)</f>
        <v>0</v>
      </c>
    </row>
    <row r="22" spans="2:6" x14ac:dyDescent="0.25">
      <c r="B22" s="29" t="s">
        <v>359</v>
      </c>
      <c r="C22" s="27">
        <f>C20-C21</f>
        <v>136923.1399999999</v>
      </c>
      <c r="D22" s="27">
        <f>D20-D21</f>
        <v>-29682.159999999974</v>
      </c>
      <c r="E22" s="27">
        <f>E20-E21</f>
        <v>306860.14</v>
      </c>
      <c r="F22" s="27">
        <f>F20-F21</f>
        <v>0</v>
      </c>
    </row>
    <row r="23" spans="2:6" x14ac:dyDescent="0.25">
      <c r="B23" s="20" t="s">
        <v>358</v>
      </c>
      <c r="C23" s="27">
        <f>CHOOSE('Input Sheet'!U2,C6*'Cost Assumptions'!C10*26,C6*'Cost Assumptions'!C9*26)</f>
        <v>235391.52000000002</v>
      </c>
      <c r="D23" s="27">
        <f>CHOOSE('Input Sheet'!U2,C4*'Outcome Assumptions'!F22*'Cost Assumptions'!E10*26,C4*'Outcome Assumptions'!F22*'Cost Assumptions'!E9*26)</f>
        <v>565071.52</v>
      </c>
      <c r="E23" s="27">
        <f>CHOOSE('Input Sheet'!U2,C4*'Outcome Assumptions'!E22*'Cost Assumptions'!D10*26,C4*'Outcome Assumptions'!E22*'Cost Assumptions'!D9*26)</f>
        <v>47061.82</v>
      </c>
      <c r="F23" s="34">
        <f>F6*'Cost Assumptions'!F9*26</f>
        <v>0</v>
      </c>
    </row>
    <row r="24" spans="2:6" x14ac:dyDescent="0.25">
      <c r="B24" s="29" t="s">
        <v>360</v>
      </c>
      <c r="C24" s="27">
        <f>C22-C23</f>
        <v>-98468.380000000121</v>
      </c>
      <c r="D24" s="34">
        <f>D22-D23</f>
        <v>-594753.67999999993</v>
      </c>
      <c r="E24" s="34">
        <f>E22-E23</f>
        <v>259798.32</v>
      </c>
      <c r="F24" s="34">
        <f>F22-F23</f>
        <v>0</v>
      </c>
    </row>
    <row r="26" spans="2:6" x14ac:dyDescent="0.25">
      <c r="B26" s="89" t="s">
        <v>387</v>
      </c>
      <c r="C26" s="89"/>
      <c r="D26" s="89"/>
    </row>
    <row r="27" spans="2:6" x14ac:dyDescent="0.25">
      <c r="C27" s="25" t="s">
        <v>310</v>
      </c>
      <c r="D27" s="25" t="s">
        <v>4</v>
      </c>
      <c r="E27" s="25" t="s">
        <v>3</v>
      </c>
      <c r="F27" s="25" t="s">
        <v>2</v>
      </c>
    </row>
    <row r="28" spans="2:6" x14ac:dyDescent="0.25">
      <c r="B28" s="20" t="s">
        <v>389</v>
      </c>
      <c r="C28" s="56">
        <f>C20/('Cost Assumptions'!D14)</f>
        <v>178.78104666666664</v>
      </c>
      <c r="D28" s="53">
        <f>D20/('Cost Assumptions'!D14)</f>
        <v>123.24594666666667</v>
      </c>
      <c r="E28" s="53">
        <f>E20/('Cost Assumptions'!D14)</f>
        <v>235.42671333333334</v>
      </c>
      <c r="F28" s="53" t="e">
        <f>F20/('Cost Assumptions'!E14)</f>
        <v>#DIV/0!</v>
      </c>
    </row>
    <row r="29" spans="2:6" x14ac:dyDescent="0.25">
      <c r="B29" s="57" t="s">
        <v>390</v>
      </c>
      <c r="C29" s="58">
        <f>IF(ISERROR(C28/'Input Sheet'!$C$14),"N/A",C28/'Input Sheet'!$C$14)</f>
        <v>0.91682588034188017</v>
      </c>
      <c r="D29" s="58">
        <f>IF(ISERROR(D28/'Input Sheet'!$C$14),"N/A",D28/'Input Sheet'!$C$14)</f>
        <v>0.63203049572649572</v>
      </c>
      <c r="E29" s="58">
        <f>IF(ISERROR(E28/'Input Sheet'!$C$14),"N/A",E28/'Input Sheet'!$C$14)</f>
        <v>1.2073164786324786</v>
      </c>
      <c r="F29" s="58" t="str">
        <f>IF(ISERROR(F28/'Input Sheet'!$C$14),"N/A",F28/'Input Sheet'!$C$14)</f>
        <v>N/A</v>
      </c>
    </row>
    <row r="30" spans="2:6" x14ac:dyDescent="0.25">
      <c r="B30" s="20" t="s">
        <v>388</v>
      </c>
      <c r="C30" s="56" t="str">
        <f>IF(C24&lt;=0,"N/A",C24/('Cost Assumptions'!D14))</f>
        <v>N/A</v>
      </c>
      <c r="D30" s="56" t="str">
        <f>IF(D24&lt;=0,"N/A",D24/('Cost Assumptions'!D14))</f>
        <v>N/A</v>
      </c>
      <c r="E30" s="56">
        <f>IF(E24&lt;=0,"N/A",E24/('Cost Assumptions'!D14))</f>
        <v>86.599440000000001</v>
      </c>
      <c r="F30" s="56" t="str">
        <f>IF(F24&lt;=0,"N/A",F24/('Cost Assumptions'!E14))</f>
        <v>N/A</v>
      </c>
    </row>
    <row r="31" spans="2:6" x14ac:dyDescent="0.25">
      <c r="B31" s="57" t="s">
        <v>390</v>
      </c>
      <c r="C31" s="58" t="str">
        <f>IF(ISERROR(C30/'Input Sheet'!$C$14),"N/A",C30/'Input Sheet'!$C$14)</f>
        <v>N/A</v>
      </c>
      <c r="D31" s="58" t="str">
        <f>IF(ISERROR(D30/'Input Sheet'!$C$14),"N/A",D30/'Input Sheet'!$C$14)</f>
        <v>N/A</v>
      </c>
      <c r="E31" s="58">
        <f>IF(ISERROR(E30/'Input Sheet'!$C$14),"N/A",E30/'Input Sheet'!$C$14)</f>
        <v>0.44409969230769231</v>
      </c>
      <c r="F31" s="58" t="str">
        <f>IF(ISERROR(F30/'Input Sheet'!$C$14),"N/A",F30/'Input Sheet'!$C$14)</f>
        <v>N/A</v>
      </c>
    </row>
  </sheetData>
  <mergeCells count="1">
    <mergeCell ref="B26:D26"/>
  </mergeCells>
  <pageMargins left="0.7" right="0.7" top="0.75" bottom="0.75" header="0.3" footer="0.3"/>
  <ignoredErrors>
    <ignoredError sqref="E23:F23 C23:D23" formula="1"/>
  </ignoredErrors>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2:F22"/>
  <sheetViews>
    <sheetView showGridLines="0" showRowColHeaders="0" workbookViewId="0">
      <selection activeCell="C30" sqref="C30"/>
    </sheetView>
  </sheetViews>
  <sheetFormatPr defaultRowHeight="15" x14ac:dyDescent="0.25"/>
  <cols>
    <col min="1" max="1" width="16.5703125" bestFit="1" customWidth="1"/>
    <col min="2" max="2" width="49.7109375" customWidth="1"/>
    <col min="3" max="6" width="15.28515625" customWidth="1"/>
  </cols>
  <sheetData>
    <row r="2" spans="2:6" x14ac:dyDescent="0.25">
      <c r="B2" s="39" t="s">
        <v>375</v>
      </c>
    </row>
    <row r="3" spans="2:6" x14ac:dyDescent="0.25">
      <c r="C3" s="25" t="s">
        <v>310</v>
      </c>
      <c r="D3" s="25" t="s">
        <v>325</v>
      </c>
      <c r="E3" s="25" t="s">
        <v>326</v>
      </c>
      <c r="F3" s="25" t="s">
        <v>2</v>
      </c>
    </row>
    <row r="4" spans="2:6" ht="18" customHeight="1" x14ac:dyDescent="0.25">
      <c r="B4" s="37" t="s">
        <v>373</v>
      </c>
      <c r="C4" s="36">
        <f>ROUND('Outcome Assumptions'!D11*'Input Sheet'!$C$12,0)</f>
        <v>317</v>
      </c>
      <c r="D4" s="36">
        <f>ROUND('Outcome Assumptions'!E11*'Input Sheet'!$C$12,0)</f>
        <v>77</v>
      </c>
      <c r="E4" s="36">
        <f>ROUND('Outcome Assumptions'!F11*'Input Sheet'!$C$12,0)</f>
        <v>548</v>
      </c>
      <c r="F4" s="36">
        <f>ROUND('Outcome Assumptions'!G11*'Input Sheet'!$C$12,0)</f>
        <v>0</v>
      </c>
    </row>
    <row r="5" spans="2:6" x14ac:dyDescent="0.25">
      <c r="B5" s="38" t="s">
        <v>374</v>
      </c>
      <c r="C5" s="28">
        <f>C4*'Outcome Assumptions'!D29</f>
        <v>1268</v>
      </c>
      <c r="D5" s="28">
        <f>D4*'Outcome Assumptions'!E29</f>
        <v>231</v>
      </c>
      <c r="E5" s="28">
        <f>E4*'Outcome Assumptions'!F29</f>
        <v>2740</v>
      </c>
      <c r="F5" s="28">
        <f>F4*'Outcome Assumptions'!G29</f>
        <v>0</v>
      </c>
    </row>
    <row r="7" spans="2:6" x14ac:dyDescent="0.25">
      <c r="B7" s="40" t="s">
        <v>376</v>
      </c>
    </row>
    <row r="8" spans="2:6" x14ac:dyDescent="0.25">
      <c r="C8" s="25" t="s">
        <v>310</v>
      </c>
      <c r="D8" s="25" t="s">
        <v>365</v>
      </c>
      <c r="E8" s="25" t="s">
        <v>366</v>
      </c>
      <c r="F8" s="25" t="s">
        <v>2</v>
      </c>
    </row>
    <row r="9" spans="2:6" x14ac:dyDescent="0.25">
      <c r="B9" s="40"/>
      <c r="C9" s="36">
        <f>ROUNDUP($C$4/100*'Staff. Assumptions - Comm Rehab'!C5,1)</f>
        <v>3.2</v>
      </c>
      <c r="D9" s="36">
        <f>ROUNDUP($C$4/100*'Staff. Assumptions - Comm Rehab'!D5,1)</f>
        <v>2.6</v>
      </c>
      <c r="E9" s="36">
        <f>ROUNDUP($C$4/100*'Staff. Assumptions - Comm Rehab'!E5,1)</f>
        <v>3.9</v>
      </c>
      <c r="F9" s="36">
        <f>ROUNDUP($F$4/100*'Staff. Assumptions - Comm Rehab'!F5,1)</f>
        <v>0</v>
      </c>
    </row>
    <row r="11" spans="2:6" x14ac:dyDescent="0.25">
      <c r="B11" s="26" t="s">
        <v>356</v>
      </c>
    </row>
    <row r="12" spans="2:6" x14ac:dyDescent="0.25">
      <c r="C12" s="25" t="s">
        <v>310</v>
      </c>
      <c r="D12" s="25" t="s">
        <v>4</v>
      </c>
      <c r="E12" s="25" t="s">
        <v>3</v>
      </c>
      <c r="F12" s="25" t="s">
        <v>2</v>
      </c>
    </row>
    <row r="13" spans="2:6" x14ac:dyDescent="0.25">
      <c r="B13" s="29" t="s">
        <v>357</v>
      </c>
      <c r="C13" s="35">
        <f>CHOOSE('Input Sheet'!$W$2,C9*'Staff. Assumptions - Comm Rehab'!C16,'Staff. Assumptions - Comm Rehab'!C20*'Community Rehab Results'!C9,'Community Rehab Results'!C9*'Staff. Assumptions - Comm Rehab'!C24,'Staff. Assumptions - Comm Rehab'!C28*'Community Rehab Results'!C9)</f>
        <v>135606.39999999999</v>
      </c>
      <c r="D13" s="35">
        <f>CHOOSE('Input Sheet'!$W$2,D9*'Staff. Assumptions - Comm Rehab'!D16,'Staff. Assumptions - Comm Rehab'!D20*'Community Rehab Results'!D9,'Community Rehab Results'!D9*'Staff. Assumptions - Comm Rehab'!D24,'Staff. Assumptions - Comm Rehab'!D28*'Community Rehab Results'!D9)</f>
        <v>93363.400000000009</v>
      </c>
      <c r="E13" s="35">
        <f>CHOOSE('Input Sheet'!$W$2,E9*'Staff. Assumptions - Comm Rehab'!E16,'Staff. Assumptions - Comm Rehab'!E20*'Community Rehab Results'!E9,'Community Rehab Results'!E9*'Staff. Assumptions - Comm Rehab'!E24,'Staff. Assumptions - Comm Rehab'!E28*'Community Rehab Results'!E9)</f>
        <v>191053.19999999998</v>
      </c>
      <c r="F13" s="35">
        <f>CHOOSE('Input Sheet'!$W$2,F9*'Staff. Assumptions - Comm Rehab'!F16,'Staff. Assumptions - Comm Rehab'!F20*'Community Rehab Results'!F9,'Community Rehab Results'!F9*'Staff. Assumptions - Comm Rehab'!F24,'Staff. Assumptions - Comm Rehab'!F28*'Community Rehab Results'!F9)</f>
        <v>0</v>
      </c>
    </row>
    <row r="14" spans="2:6" x14ac:dyDescent="0.25">
      <c r="B14" s="20" t="s">
        <v>551</v>
      </c>
      <c r="C14" s="35">
        <f>C5*'Cost Assumptions'!C4</f>
        <v>177520</v>
      </c>
      <c r="D14" s="35">
        <f>C5*'Cost Assumptions'!M4</f>
        <v>177520</v>
      </c>
      <c r="E14" s="35">
        <f>C5*'Cost Assumptions'!L4</f>
        <v>177520</v>
      </c>
      <c r="F14" s="35">
        <f>F5*'Cost Assumptions'!D4</f>
        <v>0</v>
      </c>
    </row>
    <row r="15" spans="2:6" x14ac:dyDescent="0.25">
      <c r="B15" s="29" t="s">
        <v>359</v>
      </c>
      <c r="C15" s="35">
        <f>C13-C14</f>
        <v>-41913.600000000006</v>
      </c>
      <c r="D15" s="35">
        <f>D13-D14</f>
        <v>-84156.599999999991</v>
      </c>
      <c r="E15" s="35">
        <f>E13-E14</f>
        <v>13533.199999999983</v>
      </c>
      <c r="F15" s="35">
        <f>F13-F14</f>
        <v>0</v>
      </c>
    </row>
    <row r="17" spans="2:6" x14ac:dyDescent="0.25">
      <c r="B17" s="89" t="s">
        <v>387</v>
      </c>
      <c r="C17" s="89"/>
      <c r="D17" s="89"/>
    </row>
    <row r="18" spans="2:6" x14ac:dyDescent="0.25">
      <c r="C18" s="25" t="s">
        <v>310</v>
      </c>
      <c r="D18" s="25" t="s">
        <v>4</v>
      </c>
      <c r="E18" s="25" t="s">
        <v>3</v>
      </c>
      <c r="F18" s="25" t="s">
        <v>2</v>
      </c>
    </row>
    <row r="19" spans="2:6" x14ac:dyDescent="0.25">
      <c r="B19" s="20" t="s">
        <v>391</v>
      </c>
      <c r="C19" s="56">
        <f>C13/('Cost Assumptions'!D14)</f>
        <v>45.202133333333329</v>
      </c>
      <c r="D19" s="53">
        <f>D13/('Cost Assumptions'!D14)</f>
        <v>31.121133333333336</v>
      </c>
      <c r="E19" s="53">
        <f>E13/('Cost Assumptions'!D14)</f>
        <v>63.684399999999997</v>
      </c>
      <c r="F19" s="53" t="e">
        <f>F13/('Cost Assumptions'!E14)</f>
        <v>#DIV/0!</v>
      </c>
    </row>
    <row r="20" spans="2:6" x14ac:dyDescent="0.25">
      <c r="B20" s="57" t="s">
        <v>390</v>
      </c>
      <c r="C20" s="58">
        <f>IF(ISERROR(C19/'Input Sheet'!$C$14),"N/A",C19/'Input Sheet'!$C$14)</f>
        <v>0.23180581196581193</v>
      </c>
      <c r="D20" s="58">
        <f>IF(ISERROR(D19/'Input Sheet'!$C$14),"N/A",D19/'Input Sheet'!$C$14)</f>
        <v>0.15959555555555557</v>
      </c>
      <c r="E20" s="58">
        <f>IF(ISERROR(E19/'Input Sheet'!$C$14),"N/A",E19/'Input Sheet'!$C$14)</f>
        <v>0.32658666666666664</v>
      </c>
      <c r="F20" s="58" t="str">
        <f>IF(ISERROR(F19/'Input Sheet'!$C$14),"N/A",F19/'Input Sheet'!$C$14)</f>
        <v>N/A</v>
      </c>
    </row>
    <row r="21" spans="2:6" x14ac:dyDescent="0.25">
      <c r="B21" s="20" t="s">
        <v>392</v>
      </c>
      <c r="C21" s="56" t="str">
        <f>IF(C15&lt;=0,"N/A",C15/('Cost Assumptions'!D14))</f>
        <v>N/A</v>
      </c>
      <c r="D21" s="56" t="str">
        <f>IF(D15&lt;=0,"N/A",D15/('Cost Assumptions'!D14))</f>
        <v>N/A</v>
      </c>
      <c r="E21" s="56">
        <f>IF(E15&lt;=0,"N/A",E15/('Cost Assumptions'!D14))</f>
        <v>4.511066666666661</v>
      </c>
      <c r="F21" s="56" t="str">
        <f>IF(F15&lt;=0,"N/A",F15/('Cost Assumptions'!E14))</f>
        <v>N/A</v>
      </c>
    </row>
    <row r="22" spans="2:6" x14ac:dyDescent="0.25">
      <c r="B22" s="57" t="s">
        <v>390</v>
      </c>
      <c r="C22" s="58" t="str">
        <f>IF(ISERROR(C21/'Input Sheet'!$C$14),"N/A",C21/'Input Sheet'!$C$14)</f>
        <v>N/A</v>
      </c>
      <c r="D22" s="58" t="str">
        <f>IF(ISERROR(D21/'Input Sheet'!$C$14),"N/A",D21/'Input Sheet'!$C$14)</f>
        <v>N/A</v>
      </c>
      <c r="E22" s="58">
        <f>IF(ISERROR(E21/'Input Sheet'!$C$14),"N/A",E21/'Input Sheet'!$C$14)</f>
        <v>2.3133675213675185E-2</v>
      </c>
      <c r="F22" s="58" t="str">
        <f>IF(ISERROR(F21/'Input Sheet'!$C$14),"N/A",F21/'Input Sheet'!$C$14)</f>
        <v>N/A</v>
      </c>
    </row>
  </sheetData>
  <mergeCells count="1">
    <mergeCell ref="B17:D1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The Model</vt:lpstr>
      <vt:lpstr>Input Sheet</vt:lpstr>
      <vt:lpstr>Staff. Assumptions - Ear.Disch.</vt:lpstr>
      <vt:lpstr>Staff. Assumptions - Comm Rehab</vt:lpstr>
      <vt:lpstr>Outcome Assumptions</vt:lpstr>
      <vt:lpstr>Cost Assumptions</vt:lpstr>
      <vt:lpstr>Early Discharge Results</vt:lpstr>
      <vt:lpstr>Community Rehab 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dc:creator>
  <cp:lastModifiedBy>Cheryl Gurgul</cp:lastModifiedBy>
  <dcterms:created xsi:type="dcterms:W3CDTF">2008-11-20T15:11:45Z</dcterms:created>
  <dcterms:modified xsi:type="dcterms:W3CDTF">2019-01-25T12:09:03Z</dcterms:modified>
</cp:coreProperties>
</file>