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gurgulc\Desktop\"/>
    </mc:Choice>
  </mc:AlternateContent>
  <bookViews>
    <workbookView xWindow="-15" yWindow="4335" windowWidth="15480" windowHeight="4380" tabRatio="911"/>
  </bookViews>
  <sheets>
    <sheet name="The Model" sheetId="12" r:id="rId1"/>
    <sheet name="Input Sheet" sheetId="2" r:id="rId2"/>
    <sheet name="Cost and Staff Assumptions" sheetId="21" r:id="rId3"/>
    <sheet name="Acute Treatment Assumpts." sheetId="13" r:id="rId4"/>
    <sheet name="Chronic Treatment Assumpts." sheetId="20" r:id="rId5"/>
    <sheet name="Scenarios Explained" sheetId="22" r:id="rId6"/>
    <sheet name="Acute Treatment Results" sheetId="17" r:id="rId7"/>
    <sheet name="Chronic Treatment Results" sheetId="18" r:id="rId8"/>
  </sheets>
  <calcPr calcId="162913"/>
</workbook>
</file>

<file path=xl/calcChain.xml><?xml version="1.0" encoding="utf-8"?>
<calcChain xmlns="http://schemas.openxmlformats.org/spreadsheetml/2006/main">
  <c r="F14" i="17" l="1"/>
  <c r="C6" i="21"/>
  <c r="C8" i="21"/>
  <c r="Q39" i="18"/>
  <c r="W12" i="18"/>
  <c r="V12" i="18"/>
  <c r="U12" i="18"/>
  <c r="O21" i="18"/>
  <c r="O11" i="21"/>
  <c r="P11" i="21"/>
  <c r="Q11" i="21"/>
  <c r="O12" i="21"/>
  <c r="P12" i="21"/>
  <c r="Q12" i="21"/>
  <c r="O13" i="21"/>
  <c r="C7" i="21" s="1"/>
  <c r="P13" i="21"/>
  <c r="D7" i="21" s="1"/>
  <c r="Q13" i="21"/>
  <c r="E7" i="21"/>
  <c r="P10" i="21"/>
  <c r="Q10" i="21"/>
  <c r="O10" i="21"/>
  <c r="V21" i="21"/>
  <c r="U20" i="21"/>
  <c r="C12" i="21"/>
  <c r="C14" i="17" s="1"/>
  <c r="E6" i="21"/>
  <c r="E14" i="17" s="1"/>
  <c r="D6" i="21"/>
  <c r="R21" i="21"/>
  <c r="E8" i="21"/>
  <c r="D8" i="21"/>
  <c r="R20" i="21"/>
  <c r="R19" i="21"/>
  <c r="R18" i="21"/>
  <c r="G8" i="20"/>
  <c r="F8" i="20"/>
  <c r="E8" i="20"/>
  <c r="F8" i="21"/>
  <c r="L10" i="18"/>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3" i="2"/>
  <c r="P6" i="2"/>
  <c r="P7" i="2"/>
  <c r="P8" i="2"/>
  <c r="P9" i="2"/>
  <c r="P10" i="2"/>
  <c r="P11" i="2"/>
  <c r="P12" i="2"/>
  <c r="P2" i="2"/>
  <c r="U2" i="2"/>
  <c r="X2" i="2"/>
  <c r="W2" i="2"/>
  <c r="C4" i="2"/>
  <c r="C8" i="2" s="1"/>
  <c r="D14" i="17"/>
  <c r="Q21" i="18"/>
  <c r="F5" i="17" l="1"/>
  <c r="F6" i="17" s="1"/>
  <c r="F8" i="17" s="1"/>
  <c r="F9" i="18"/>
  <c r="F7" i="17"/>
  <c r="P8" i="18"/>
  <c r="D14" i="18"/>
  <c r="G14" i="18"/>
  <c r="E5" i="17"/>
  <c r="E6" i="17" s="1"/>
  <c r="F8" i="18"/>
  <c r="F10" i="18" s="1"/>
  <c r="E8" i="18"/>
  <c r="E10" i="18" s="1"/>
  <c r="C8" i="18"/>
  <c r="E9" i="18"/>
  <c r="F10" i="17"/>
  <c r="H14" i="18"/>
  <c r="C14" i="18"/>
  <c r="C21" i="18" s="1"/>
  <c r="D7" i="17"/>
  <c r="D5" i="17"/>
  <c r="D6" i="17" s="1"/>
  <c r="E10" i="17"/>
  <c r="I14" i="18"/>
  <c r="F14" i="18"/>
  <c r="E7" i="17"/>
  <c r="E8" i="17" s="1"/>
  <c r="E12" i="17" s="1"/>
  <c r="C5" i="17"/>
  <c r="C6" i="17" s="1"/>
  <c r="D8" i="18"/>
  <c r="D9" i="18"/>
  <c r="C9" i="18"/>
  <c r="C10" i="17"/>
  <c r="D10" i="17"/>
  <c r="J14" i="18"/>
  <c r="F21" i="18" s="1"/>
  <c r="E14" i="18"/>
  <c r="E21" i="18" s="1"/>
  <c r="C7" i="17"/>
  <c r="C8" i="17" s="1"/>
  <c r="C12" i="17" s="1"/>
  <c r="C16" i="18" l="1"/>
  <c r="S33" i="18"/>
  <c r="S13" i="18"/>
  <c r="E4" i="18"/>
  <c r="R12" i="18"/>
  <c r="R18" i="18"/>
  <c r="Q26" i="18"/>
  <c r="S26" i="18"/>
  <c r="S18" i="18"/>
  <c r="F16" i="18" s="1"/>
  <c r="R26" i="18"/>
  <c r="S12" i="18"/>
  <c r="S36" i="18" s="1"/>
  <c r="R13" i="18"/>
  <c r="F4" i="18"/>
  <c r="P12" i="18"/>
  <c r="P13" i="18"/>
  <c r="P33" i="18"/>
  <c r="R33" i="18"/>
  <c r="S17" i="18"/>
  <c r="F15" i="18" s="1"/>
  <c r="C4" i="18"/>
  <c r="Q13" i="18"/>
  <c r="P18" i="18"/>
  <c r="D4" i="18"/>
  <c r="Q33" i="18"/>
  <c r="Q12" i="18"/>
  <c r="P26" i="18"/>
  <c r="D8" i="17"/>
  <c r="D12" i="17" s="1"/>
  <c r="E16" i="18"/>
  <c r="D10" i="18"/>
  <c r="C10" i="18"/>
  <c r="P36" i="18"/>
  <c r="G30" i="18" s="1"/>
  <c r="D21" i="18"/>
  <c r="F12" i="17"/>
  <c r="Q34" i="18" l="1"/>
  <c r="H28" i="18" s="1"/>
  <c r="Q35" i="18"/>
  <c r="H29" i="18" s="1"/>
  <c r="P40" i="18"/>
  <c r="S27" i="18"/>
  <c r="S34" i="18"/>
  <c r="P39" i="18"/>
  <c r="P38" i="18"/>
  <c r="P17" i="18"/>
  <c r="R36" i="18"/>
  <c r="I30" i="18" s="1"/>
  <c r="J15" i="18"/>
  <c r="P27" i="18"/>
  <c r="C15" i="18"/>
  <c r="C17" i="18" s="1"/>
  <c r="G15" i="18"/>
  <c r="Q17" i="18"/>
  <c r="Q27" i="18" s="1"/>
  <c r="R17" i="18"/>
  <c r="I15" i="18" s="1"/>
  <c r="I17" i="18" s="1"/>
  <c r="F17" i="18"/>
  <c r="J16" i="18"/>
  <c r="F23" i="18" s="1"/>
  <c r="F35" i="18" s="1"/>
  <c r="AJ50" i="18" s="1"/>
  <c r="AO50" i="18" s="1"/>
  <c r="F50" i="18" s="1"/>
  <c r="P34" i="18"/>
  <c r="G28" i="18" s="1"/>
  <c r="Q18" i="18"/>
  <c r="H16" i="18" s="1"/>
  <c r="P35" i="18"/>
  <c r="G29" i="18" s="1"/>
  <c r="S28" i="18"/>
  <c r="F29" i="18" s="1"/>
  <c r="G16" i="18"/>
  <c r="C23" i="18" s="1"/>
  <c r="C35" i="18" s="1"/>
  <c r="AG50" i="18" s="1"/>
  <c r="AL50" i="18" s="1"/>
  <c r="C50" i="18" s="1"/>
  <c r="P28" i="18"/>
  <c r="C29" i="18" s="1"/>
  <c r="R28" i="18"/>
  <c r="E29" i="18" s="1"/>
  <c r="I16" i="18"/>
  <c r="E23" i="18" s="1"/>
  <c r="S35" i="18"/>
  <c r="R35" i="18"/>
  <c r="I29" i="18" s="1"/>
  <c r="F28" i="18"/>
  <c r="Q36" i="18"/>
  <c r="H30" i="18" s="1"/>
  <c r="J30" i="18"/>
  <c r="J28" i="18"/>
  <c r="J29" i="18"/>
  <c r="C22" i="18"/>
  <c r="C28" i="18"/>
  <c r="P29" i="18"/>
  <c r="C30" i="18" s="1"/>
  <c r="D28" i="18" l="1"/>
  <c r="E15" i="18"/>
  <c r="R34" i="18"/>
  <c r="I28" i="18" s="1"/>
  <c r="Q28" i="18"/>
  <c r="D29" i="18" s="1"/>
  <c r="H15" i="18"/>
  <c r="H17" i="18" s="1"/>
  <c r="J17" i="18"/>
  <c r="F24" i="18" s="1"/>
  <c r="F36" i="18" s="1"/>
  <c r="AJ51" i="18" s="1"/>
  <c r="AO51" i="18" s="1"/>
  <c r="F51" i="18" s="1"/>
  <c r="F22" i="18"/>
  <c r="F34" i="18" s="1"/>
  <c r="AJ49" i="18" s="1"/>
  <c r="AO49" i="18" s="1"/>
  <c r="F49" i="18" s="1"/>
  <c r="E35" i="18"/>
  <c r="AI50" i="18" s="1"/>
  <c r="AN50" i="18" s="1"/>
  <c r="E50" i="18" s="1"/>
  <c r="D16" i="18"/>
  <c r="R27" i="18"/>
  <c r="S29" i="18"/>
  <c r="F30" i="18" s="1"/>
  <c r="D15" i="18"/>
  <c r="D22" i="18" s="1"/>
  <c r="D34" i="18" s="1"/>
  <c r="AH49" i="18" s="1"/>
  <c r="AM49" i="18" s="1"/>
  <c r="D49" i="18" s="1"/>
  <c r="G17" i="18"/>
  <c r="C24" i="18" s="1"/>
  <c r="C36" i="18" s="1"/>
  <c r="AG51" i="18" s="1"/>
  <c r="C34" i="18"/>
  <c r="AG49" i="18" s="1"/>
  <c r="Q29" i="18" l="1"/>
  <c r="D30" i="18" s="1"/>
  <c r="E17" i="18"/>
  <c r="E24" i="18" s="1"/>
  <c r="E22" i="18"/>
  <c r="D23" i="18"/>
  <c r="D35" i="18" s="1"/>
  <c r="AH50" i="18" s="1"/>
  <c r="AM50" i="18" s="1"/>
  <c r="D50" i="18" s="1"/>
  <c r="D17" i="18"/>
  <c r="D24" i="18" s="1"/>
  <c r="D36" i="18" s="1"/>
  <c r="AH51" i="18" s="1"/>
  <c r="AM51" i="18" s="1"/>
  <c r="D51" i="18" s="1"/>
  <c r="R29" i="18"/>
  <c r="E30" i="18" s="1"/>
  <c r="E36" i="18" s="1"/>
  <c r="AI51" i="18" s="1"/>
  <c r="AN51" i="18" s="1"/>
  <c r="E51" i="18" s="1"/>
  <c r="E28" i="18"/>
  <c r="AL49" i="18"/>
  <c r="C49" i="18" s="1"/>
  <c r="AL51" i="18"/>
  <c r="C51" i="18" s="1"/>
  <c r="E34" i="18" l="1"/>
  <c r="AI49" i="18" s="1"/>
  <c r="AN49" i="18" s="1"/>
  <c r="E49" i="18" s="1"/>
</calcChain>
</file>

<file path=xl/comments1.xml><?xml version="1.0" encoding="utf-8"?>
<comments xmlns="http://schemas.openxmlformats.org/spreadsheetml/2006/main">
  <authors>
    <author>James</author>
  </authors>
  <commentList>
    <comment ref="B2" authorId="0" shapeId="0">
      <text>
        <r>
          <rPr>
            <b/>
            <sz val="9"/>
            <color indexed="81"/>
            <rFont val="Tahoma"/>
            <family val="2"/>
          </rPr>
          <t xml:space="preserve">Physio, GP and outpatient appointment costs taken from Unit Costs of Health and Social Care, PSSRU, 2008 with London weightings taken from this document and adjustments for different grades of physio taken and from Agenda for Change Pay Circular June 2008.  Costs include salary at midpoint of pay scales, oncosts and overheads but exclude qualification costs.  </t>
        </r>
        <r>
          <rPr>
            <sz val="9"/>
            <color indexed="81"/>
            <rFont val="Tahoma"/>
            <family val="2"/>
          </rPr>
          <t xml:space="preserve">
</t>
        </r>
      </text>
    </comment>
    <comment ref="B4" authorId="0" shapeId="0">
      <text>
        <r>
          <rPr>
            <b/>
            <sz val="9"/>
            <color indexed="81"/>
            <rFont val="Tahoma"/>
            <family val="2"/>
          </rPr>
          <t xml:space="preserve">Twenty minutes advice as suggested as being as effective as 'normal care' in </t>
        </r>
        <r>
          <rPr>
            <b/>
            <i/>
            <sz val="9"/>
            <color indexed="81"/>
            <rFont val="Tahoma"/>
            <family val="2"/>
          </rPr>
          <t xml:space="preserve">Individual patient education for low back pain (Review) - Cochrane Review, </t>
        </r>
        <r>
          <rPr>
            <b/>
            <sz val="9"/>
            <color indexed="81"/>
            <rFont val="Tahoma"/>
            <family val="2"/>
          </rPr>
          <t>Engers AJ et al, The Cochrane Library (2009).  Tenty minute manipulation and 1 hour group exercise as suggested by UK BEAM Trail.  Costs are for based on PSSRU estimate of hour of physio time in clinic.</t>
        </r>
      </text>
    </comment>
    <comment ref="B14" authorId="0" shapeId="0">
      <text>
        <r>
          <rPr>
            <b/>
            <sz val="9"/>
            <color indexed="81"/>
            <rFont val="Tahoma"/>
            <family val="2"/>
          </rPr>
          <t>Base = national average and high and low are upper and lower quartiles respectively</t>
        </r>
        <r>
          <rPr>
            <sz val="9"/>
            <color indexed="81"/>
            <rFont val="Tahoma"/>
            <family val="2"/>
          </rPr>
          <t xml:space="preserve">
</t>
        </r>
      </text>
    </comment>
    <comment ref="B20" authorId="0" shapeId="0">
      <text>
        <r>
          <rPr>
            <b/>
            <sz val="9"/>
            <color indexed="81"/>
            <rFont val="Tahoma"/>
            <family val="2"/>
          </rPr>
          <t>Assumes 400g Ibuprofen taken three times a day, price to NHS of £2.24 for 84 tablets.  Taken from http://cks.library.nhs.uk/back_pain_low_and_sciatica/management/quick_answers/scenario_back_pain_low_and_sciatica/prescriptions/nsaid_ibuprofen#-340703</t>
        </r>
      </text>
    </comment>
    <comment ref="B21" authorId="0" shapeId="0">
      <text>
        <r>
          <rPr>
            <b/>
            <sz val="9"/>
            <color indexed="81"/>
            <rFont val="Tahoma"/>
            <family val="2"/>
          </rPr>
          <t xml:space="preserve">Taken from: </t>
        </r>
        <r>
          <rPr>
            <b/>
            <i/>
            <sz val="9"/>
            <color indexed="81"/>
            <rFont val="Tahoma"/>
            <family val="2"/>
          </rPr>
          <t xml:space="preserve">Cost of NSAID adverse effects to the UK National Health Service; </t>
        </r>
        <r>
          <rPr>
            <b/>
            <sz val="9"/>
            <color indexed="81"/>
            <rFont val="Tahoma"/>
            <family val="2"/>
          </rPr>
          <t>Moore RA, Phillips CJ, Journal of Medical Economics (1999).  Figures are mid, low and high estimates from the paper extrapolated by RPI from 1999 to 2009.</t>
        </r>
        <r>
          <rPr>
            <sz val="9"/>
            <color indexed="81"/>
            <rFont val="Tahoma"/>
            <family val="2"/>
          </rPr>
          <t xml:space="preserve">
</t>
        </r>
      </text>
    </comment>
    <comment ref="B25" authorId="0" shapeId="0">
      <text>
        <r>
          <rPr>
            <b/>
            <sz val="9"/>
            <color indexed="81"/>
            <rFont val="Tahoma"/>
            <family val="2"/>
          </rPr>
          <t xml:space="preserve">From Dame Carol Blacks' </t>
        </r>
        <r>
          <rPr>
            <b/>
            <i/>
            <sz val="9"/>
            <color indexed="81"/>
            <rFont val="Tahoma"/>
            <family val="2"/>
          </rPr>
          <t>Working for a Healthier Tomorrow</t>
        </r>
      </text>
    </comment>
  </commentList>
</comments>
</file>

<file path=xl/comments2.xml><?xml version="1.0" encoding="utf-8"?>
<comments xmlns="http://schemas.openxmlformats.org/spreadsheetml/2006/main">
  <authors>
    <author>James</author>
  </authors>
  <commentList>
    <comment ref="C3" authorId="0" shapeId="0">
      <text>
        <r>
          <rPr>
            <b/>
            <sz val="9"/>
            <color indexed="81"/>
            <rFont val="Tahoma"/>
            <family val="2"/>
          </rPr>
          <t xml:space="preserve">Base case taken from </t>
        </r>
        <r>
          <rPr>
            <b/>
            <i/>
            <sz val="9"/>
            <color indexed="81"/>
            <rFont val="Tahoma"/>
            <family val="2"/>
          </rPr>
          <t>What are the Costs to NHS Scotland of Self-Referral to Physiotherapy? Results of a National Trial</t>
        </r>
        <r>
          <rPr>
            <b/>
            <sz val="9"/>
            <color indexed="81"/>
            <rFont val="Tahoma"/>
            <family val="2"/>
          </rPr>
          <t xml:space="preserve">, Holdsworth et al, Physiotherapy (2007).  Low and High cases are base case for self-referral +- 5%.  % Suitable for GP Care only assumed to be same unsuitable for manipulation and exercise from </t>
        </r>
        <r>
          <rPr>
            <b/>
            <i/>
            <sz val="9"/>
            <color indexed="81"/>
            <rFont val="Tahoma"/>
            <family val="2"/>
          </rPr>
          <t>United Kingdom Back Pain Exercise and Manipulation (UK BEAM) Randomised Trial: Effectiveness of Physical Treatment for Back Pain</t>
        </r>
        <r>
          <rPr>
            <b/>
            <sz val="9"/>
            <color indexed="81"/>
            <rFont val="Tahoma"/>
            <family val="2"/>
          </rPr>
          <t xml:space="preserve">; UK BEAM Trial Team, BMJ (2004). </t>
        </r>
        <r>
          <rPr>
            <sz val="9"/>
            <color indexed="81"/>
            <rFont val="Tahoma"/>
            <family val="2"/>
          </rPr>
          <t xml:space="preserve">
</t>
        </r>
      </text>
    </comment>
    <comment ref="C8" authorId="0" shapeId="0">
      <text>
        <r>
          <rPr>
            <b/>
            <sz val="9"/>
            <color indexed="81"/>
            <rFont val="Tahoma"/>
            <family val="2"/>
          </rPr>
          <t>Assumptions</t>
        </r>
      </text>
    </comment>
    <comment ref="C13" authorId="0" shapeId="0">
      <text>
        <r>
          <rPr>
            <b/>
            <sz val="9"/>
            <color indexed="81"/>
            <rFont val="Tahoma"/>
            <family val="2"/>
          </rPr>
          <t xml:space="preserve">See </t>
        </r>
        <r>
          <rPr>
            <b/>
            <i/>
            <sz val="9"/>
            <color indexed="81"/>
            <rFont val="Tahoma"/>
            <family val="2"/>
          </rPr>
          <t xml:space="preserve">Outcome of low back pain in general practice: a prospective study, </t>
        </r>
        <r>
          <rPr>
            <b/>
            <sz val="9"/>
            <color indexed="81"/>
            <rFont val="Tahoma"/>
            <family val="2"/>
          </rPr>
          <t>Croft PR et al, BMJ (1998)</t>
        </r>
        <r>
          <rPr>
            <b/>
            <i/>
            <sz val="9"/>
            <color indexed="81"/>
            <rFont val="Tahoma"/>
            <family val="2"/>
          </rPr>
          <t xml:space="preserve">
</t>
        </r>
        <r>
          <rPr>
            <b/>
            <sz val="9"/>
            <color indexed="81"/>
            <rFont val="Tahoma"/>
            <family val="2"/>
          </rPr>
          <t>High and low cases are +-2.5% from base case.  Resolution is defined as "No further GP consultation about an episode".  Evidence suggests that advice is just as effective as normal care.</t>
        </r>
        <r>
          <rPr>
            <sz val="9"/>
            <color indexed="81"/>
            <rFont val="Tahoma"/>
            <family val="2"/>
          </rPr>
          <t xml:space="preserve">
</t>
        </r>
      </text>
    </comment>
  </commentList>
</comments>
</file>

<file path=xl/comments3.xml><?xml version="1.0" encoding="utf-8"?>
<comments xmlns="http://schemas.openxmlformats.org/spreadsheetml/2006/main">
  <authors>
    <author>James</author>
  </authors>
  <commentList>
    <comment ref="C3" authorId="0" shapeId="0">
      <text>
        <r>
          <rPr>
            <b/>
            <sz val="9"/>
            <color indexed="81"/>
            <rFont val="Tahoma"/>
            <family val="2"/>
          </rPr>
          <t xml:space="preserve">Taken from </t>
        </r>
        <r>
          <rPr>
            <b/>
            <i/>
            <sz val="9"/>
            <color indexed="81"/>
            <rFont val="Tahoma"/>
            <family val="2"/>
          </rPr>
          <t xml:space="preserve">United Kingdom Back Pain Exercise and Manipulation (UK BEAM) Randomised Trial: Effectiveness of Physical Treatment for Back Pain; </t>
        </r>
        <r>
          <rPr>
            <b/>
            <sz val="9"/>
            <color indexed="81"/>
            <rFont val="Tahoma"/>
            <family val="2"/>
          </rPr>
          <t>UK BEAM Trial Team, BMJ (2004).  High/Low cases +-5%</t>
        </r>
        <r>
          <rPr>
            <sz val="9"/>
            <color indexed="81"/>
            <rFont val="Tahoma"/>
            <family val="2"/>
          </rPr>
          <t xml:space="preserve">
</t>
        </r>
      </text>
    </comment>
    <comment ref="C8" authorId="0" shapeId="0">
      <text>
        <r>
          <rPr>
            <b/>
            <sz val="9"/>
            <color indexed="81"/>
            <rFont val="Tahoma"/>
            <family val="2"/>
          </rPr>
          <t xml:space="preserve">Number of appointments taken from </t>
        </r>
        <r>
          <rPr>
            <b/>
            <i/>
            <sz val="9"/>
            <color indexed="81"/>
            <rFont val="Tahoma"/>
            <family val="2"/>
          </rPr>
          <t>United Kingdom Back Pain Exercise and Manipulation (UK BEAM) Randomised Trial: Effectiveness of Physical Treatment for Back Pain</t>
        </r>
        <r>
          <rPr>
            <b/>
            <sz val="9"/>
            <color indexed="81"/>
            <rFont val="Tahoma"/>
            <family val="2"/>
          </rPr>
          <t>; UK BEAM Trial Team, BMJ (2004).  High/Low cases +-1.  Percentage able to be seen by each grade taken with Grade 6 physio assumed to take the same % as stated as suitable in BEAM trial and Grades 7 and 5 +-5% of this point respectively.</t>
        </r>
      </text>
    </comment>
    <comment ref="C12" authorId="0" shapeId="0">
      <text>
        <r>
          <rPr>
            <b/>
            <sz val="9"/>
            <color indexed="81"/>
            <rFont val="Tahoma"/>
            <family val="2"/>
          </rPr>
          <t xml:space="preserve">Modified from mean consultations from </t>
        </r>
        <r>
          <rPr>
            <b/>
            <i/>
            <sz val="9"/>
            <color indexed="81"/>
            <rFont val="Tahoma"/>
            <family val="2"/>
          </rPr>
          <t xml:space="preserve">United Kingdom back pain exercise and manipulation (UK BEAM) randomised trial: cost effectiveness of physical treatments for back pain in primary care, </t>
        </r>
        <r>
          <rPr>
            <b/>
            <sz val="9"/>
            <color indexed="81"/>
            <rFont val="Tahoma"/>
            <family val="2"/>
          </rPr>
          <t>UK BEAM Team, BMJ (2004) with High and Low cases being +- 1 consultation from base case.</t>
        </r>
        <r>
          <rPr>
            <sz val="9"/>
            <color indexed="81"/>
            <rFont val="Tahoma"/>
            <family val="2"/>
          </rPr>
          <t xml:space="preserve">
</t>
        </r>
      </text>
    </comment>
    <comment ref="C18" authorId="0" shapeId="0">
      <text>
        <r>
          <rPr>
            <b/>
            <sz val="9"/>
            <color indexed="81"/>
            <rFont val="Tahoma"/>
            <family val="2"/>
          </rPr>
          <t xml:space="preserve">Modified from mean consultations from </t>
        </r>
        <r>
          <rPr>
            <b/>
            <i/>
            <sz val="9"/>
            <color indexed="81"/>
            <rFont val="Tahoma"/>
            <family val="2"/>
          </rPr>
          <t xml:space="preserve">United Kingdom back pain exercise and manipulation (UK BEAM) randomised trial: cost effectiveness of physical treatments for back pain in primary care, </t>
        </r>
        <r>
          <rPr>
            <b/>
            <sz val="9"/>
            <color indexed="81"/>
            <rFont val="Tahoma"/>
            <family val="2"/>
          </rPr>
          <t>UK BEAM Team, BMJ (2004) with High and Low cases being +- 0.1 appointments from base case.</t>
        </r>
        <r>
          <rPr>
            <sz val="9"/>
            <color indexed="81"/>
            <rFont val="Tahoma"/>
            <family val="2"/>
          </rPr>
          <t xml:space="preserve">
</t>
        </r>
      </text>
    </comment>
    <comment ref="C24" authorId="0" shapeId="0">
      <text>
        <r>
          <rPr>
            <b/>
            <sz val="9"/>
            <color indexed="81"/>
            <rFont val="Tahoma"/>
            <family val="2"/>
          </rPr>
          <t xml:space="preserve">Base case taken as mid point of self and GP referrers to physio from </t>
        </r>
        <r>
          <rPr>
            <b/>
            <i/>
            <sz val="9"/>
            <color indexed="81"/>
            <rFont val="Tahoma"/>
            <family val="2"/>
          </rPr>
          <t>What are the Costs to NHS Scotland of Self-Referral to Physiotherapy? Results of a National Trial</t>
        </r>
        <r>
          <rPr>
            <b/>
            <sz val="9"/>
            <color indexed="81"/>
            <rFont val="Tahoma"/>
            <family val="2"/>
          </rPr>
          <t>, Holdsworth et al, Physiotherapy (2007).  Low and High cases are base case for self-referral +- 2%.  Prescribed NSAIDs GP Care only assumed to be +5% above that for physio advice after GP referral.</t>
        </r>
        <r>
          <rPr>
            <sz val="9"/>
            <color indexed="81"/>
            <rFont val="Tahoma"/>
            <family val="2"/>
          </rPr>
          <t xml:space="preserve">
</t>
        </r>
      </text>
    </comment>
  </commentList>
</comments>
</file>

<file path=xl/comments4.xml><?xml version="1.0" encoding="utf-8"?>
<comments xmlns="http://schemas.openxmlformats.org/spreadsheetml/2006/main">
  <authors>
    <author>James</author>
  </authors>
  <commentList>
    <comment ref="B5" authorId="0" shapeId="0">
      <text>
        <r>
          <rPr>
            <b/>
            <sz val="9"/>
            <color indexed="81"/>
            <rFont val="Tahoma"/>
            <family val="2"/>
          </rPr>
          <t xml:space="preserve">Assumes client contact time of 63.4%. 37.5 hour working week and 41.3 week working year as recommended in the Unit Costs of Health and Social Care (2008) - PSSRU. </t>
        </r>
        <r>
          <rPr>
            <sz val="9"/>
            <color indexed="81"/>
            <rFont val="Tahoma"/>
            <family val="2"/>
          </rPr>
          <t xml:space="preserve">
</t>
        </r>
      </text>
    </comment>
    <comment ref="B14" authorId="0" shapeId="0">
      <text>
        <r>
          <rPr>
            <b/>
            <sz val="9"/>
            <color indexed="81"/>
            <rFont val="Tahoma"/>
            <family val="2"/>
          </rPr>
          <t>Cost saving if one GP appointment is replaced by one physio appointment</t>
        </r>
      </text>
    </comment>
  </commentList>
</comments>
</file>

<file path=xl/comments5.xml><?xml version="1.0" encoding="utf-8"?>
<comments xmlns="http://schemas.openxmlformats.org/spreadsheetml/2006/main">
  <authors>
    <author>James</author>
  </authors>
  <commentList>
    <comment ref="B6" authorId="0" shapeId="0">
      <text>
        <r>
          <rPr>
            <b/>
            <sz val="9"/>
            <color indexed="81"/>
            <rFont val="Tahoma"/>
            <family val="2"/>
          </rPr>
          <t xml:space="preserve">Assumes client contact time of 63.4%. 37.5 hour working week and 41.3 week working year as recommended in the Unit Costs of Health and Social Care (2008) - PSSRU. </t>
        </r>
      </text>
    </comment>
    <comment ref="G12" authorId="0" shapeId="0">
      <text>
        <r>
          <rPr>
            <b/>
            <sz val="9"/>
            <color indexed="81"/>
            <rFont val="Tahoma"/>
            <family val="2"/>
          </rPr>
          <t>Over 12 Months</t>
        </r>
        <r>
          <rPr>
            <sz val="9"/>
            <color indexed="81"/>
            <rFont val="Tahoma"/>
            <family val="2"/>
          </rPr>
          <t xml:space="preserve">
</t>
        </r>
      </text>
    </comment>
    <comment ref="C39" authorId="0" shapeId="0">
      <text>
        <r>
          <rPr>
            <b/>
            <sz val="9"/>
            <color indexed="81"/>
            <rFont val="Tahoma"/>
            <family val="2"/>
          </rPr>
          <t xml:space="preserve">As measured on Roland Disability Scale, taken from </t>
        </r>
        <r>
          <rPr>
            <b/>
            <i/>
            <sz val="9"/>
            <color indexed="81"/>
            <rFont val="Tahoma"/>
            <family val="2"/>
          </rPr>
          <t>United Kingdom Back Pain Exercise and Manipulation (UK BEAM) Randomised Trial: Effectiveness of Physical Treatment for Back Pain</t>
        </r>
        <r>
          <rPr>
            <b/>
            <sz val="9"/>
            <color indexed="81"/>
            <rFont val="Tahoma"/>
            <family val="2"/>
          </rPr>
          <t>; UK BEAM Trial Team, BMJ (2004).  High/Low cases are upper and lower bounds of reported 95% CI.  A negative value indicates an increase in disability.</t>
        </r>
      </text>
    </comment>
  </commentList>
</comments>
</file>

<file path=xl/sharedStrings.xml><?xml version="1.0" encoding="utf-8"?>
<sst xmlns="http://schemas.openxmlformats.org/spreadsheetml/2006/main" count="593" uniqueCount="422">
  <si>
    <t>PCT</t>
  </si>
  <si>
    <t>User Defined</t>
  </si>
  <si>
    <t>County Durham</t>
  </si>
  <si>
    <t>5ND</t>
  </si>
  <si>
    <t>Darlington</t>
  </si>
  <si>
    <t>5J9</t>
  </si>
  <si>
    <t>Gateshead</t>
  </si>
  <si>
    <t>5KF</t>
  </si>
  <si>
    <t>Hartlepool</t>
  </si>
  <si>
    <t>5D9</t>
  </si>
  <si>
    <t>Middlesbrough</t>
  </si>
  <si>
    <t>5KM</t>
  </si>
  <si>
    <t>Newcastle</t>
  </si>
  <si>
    <t>5D7</t>
  </si>
  <si>
    <t>Stockton-on-Tees Teaching</t>
  </si>
  <si>
    <t>5E1</t>
  </si>
  <si>
    <t>North Tyneside</t>
  </si>
  <si>
    <t>5D8</t>
  </si>
  <si>
    <t>Northumberland</t>
  </si>
  <si>
    <t>TAC</t>
  </si>
  <si>
    <t>Redcar and Cleveland</t>
  </si>
  <si>
    <t>5QR</t>
  </si>
  <si>
    <t>South Tyneside</t>
  </si>
  <si>
    <t>5KG</t>
  </si>
  <si>
    <t>Sunderland Teaching</t>
  </si>
  <si>
    <t>5KL</t>
  </si>
  <si>
    <t>Ashton, Leigh and Wigan</t>
  </si>
  <si>
    <t>5HG</t>
  </si>
  <si>
    <t>Blackburn with Darwen</t>
  </si>
  <si>
    <t>5CC</t>
  </si>
  <si>
    <t>Blackpool</t>
  </si>
  <si>
    <t>5HP</t>
  </si>
  <si>
    <t>Bolton</t>
  </si>
  <si>
    <t>5HQ</t>
  </si>
  <si>
    <t>Central and Eastern Cheshire</t>
  </si>
  <si>
    <t>5NP</t>
  </si>
  <si>
    <t>Central Lancashire</t>
  </si>
  <si>
    <t>5NG</t>
  </si>
  <si>
    <t>Cumbria Teaching</t>
  </si>
  <si>
    <t>5NE</t>
  </si>
  <si>
    <t>East Lancashire Teaching</t>
  </si>
  <si>
    <t>5NH</t>
  </si>
  <si>
    <t>Halton and St Helens</t>
  </si>
  <si>
    <t>5NM</t>
  </si>
  <si>
    <t>Heywood, Middleton and Rochdale</t>
  </si>
  <si>
    <t>5NQ</t>
  </si>
  <si>
    <t>Knowsley</t>
  </si>
  <si>
    <t>5J4</t>
  </si>
  <si>
    <t>Liverpool</t>
  </si>
  <si>
    <t>5NL</t>
  </si>
  <si>
    <t>Manchester</t>
  </si>
  <si>
    <t>5NT</t>
  </si>
  <si>
    <t>North Lancashire Teaching</t>
  </si>
  <si>
    <t>5NF</t>
  </si>
  <si>
    <t>Oldham</t>
  </si>
  <si>
    <t>5J5</t>
  </si>
  <si>
    <t>Salford</t>
  </si>
  <si>
    <t>5F5</t>
  </si>
  <si>
    <t>Sefton</t>
  </si>
  <si>
    <t>5NJ</t>
  </si>
  <si>
    <t>Stockport</t>
  </si>
  <si>
    <t>5F7</t>
  </si>
  <si>
    <t>5LH</t>
  </si>
  <si>
    <t>Trafford</t>
  </si>
  <si>
    <t>5NR</t>
  </si>
  <si>
    <t>Warrington</t>
  </si>
  <si>
    <t>5J2</t>
  </si>
  <si>
    <t>Western Cheshire</t>
  </si>
  <si>
    <t>5NN</t>
  </si>
  <si>
    <t>Wirral</t>
  </si>
  <si>
    <t>5NK</t>
  </si>
  <si>
    <t>Barnsley</t>
  </si>
  <si>
    <t>5JE</t>
  </si>
  <si>
    <t>Bradford and Airedale Teaching</t>
  </si>
  <si>
    <t>5NY</t>
  </si>
  <si>
    <t>Calderdale</t>
  </si>
  <si>
    <t>5J6</t>
  </si>
  <si>
    <t>Doncaster</t>
  </si>
  <si>
    <t>5N5</t>
  </si>
  <si>
    <t>East Riding of Yorkshire</t>
  </si>
  <si>
    <t>5NW</t>
  </si>
  <si>
    <t>Hull Teaching</t>
  </si>
  <si>
    <t>5NX</t>
  </si>
  <si>
    <t>Kirklees</t>
  </si>
  <si>
    <t>5N2</t>
  </si>
  <si>
    <t>Leeds</t>
  </si>
  <si>
    <t>5N1</t>
  </si>
  <si>
    <t>North East Lincolnshire</t>
  </si>
  <si>
    <t>TAN</t>
  </si>
  <si>
    <t>North Lincolnshire</t>
  </si>
  <si>
    <t>5EF</t>
  </si>
  <si>
    <t>North Yorkshire and York</t>
  </si>
  <si>
    <t>5NV</t>
  </si>
  <si>
    <t>Rotherham</t>
  </si>
  <si>
    <t>5H8</t>
  </si>
  <si>
    <t>Sheffield</t>
  </si>
  <si>
    <t>5N4</t>
  </si>
  <si>
    <t>Wakefield District</t>
  </si>
  <si>
    <t>5N3</t>
  </si>
  <si>
    <t>Bassetlaw</t>
  </si>
  <si>
    <t>5ET</t>
  </si>
  <si>
    <t>Derby City</t>
  </si>
  <si>
    <t>5N7</t>
  </si>
  <si>
    <t>Derbyshire County</t>
  </si>
  <si>
    <t>5N6</t>
  </si>
  <si>
    <t>Leicester City</t>
  </si>
  <si>
    <t>5PC</t>
  </si>
  <si>
    <t>Leicestershire County and Rutland</t>
  </si>
  <si>
    <t>5PA</t>
  </si>
  <si>
    <t>5N9</t>
  </si>
  <si>
    <t>Northamptonshire Teaching</t>
  </si>
  <si>
    <t>5PD</t>
  </si>
  <si>
    <t>Nottingham City</t>
  </si>
  <si>
    <t>5EM</t>
  </si>
  <si>
    <t>Nottinghamshire County Teaching</t>
  </si>
  <si>
    <t>5N8</t>
  </si>
  <si>
    <t>Coventry Teaching</t>
  </si>
  <si>
    <t>5MD</t>
  </si>
  <si>
    <t>Dudley</t>
  </si>
  <si>
    <t>5PE</t>
  </si>
  <si>
    <t>Heart of Birmingham Teaching</t>
  </si>
  <si>
    <t>5MX</t>
  </si>
  <si>
    <t>Herefordshire</t>
  </si>
  <si>
    <t>5CN</t>
  </si>
  <si>
    <t>North Staffordshire</t>
  </si>
  <si>
    <t>5PH</t>
  </si>
  <si>
    <t>Sandwell</t>
  </si>
  <si>
    <t>5PF</t>
  </si>
  <si>
    <t>Shropshire County</t>
  </si>
  <si>
    <t>5M2</t>
  </si>
  <si>
    <r>
      <t>Solihull</t>
    </r>
    <r>
      <rPr>
        <vertAlign val="superscript"/>
        <sz val="12"/>
        <rFont val="Times New Roman"/>
        <family val="1"/>
      </rPr>
      <t xml:space="preserve"> </t>
    </r>
  </si>
  <si>
    <t>TAM</t>
  </si>
  <si>
    <t>South Birmingham</t>
  </si>
  <si>
    <t>5M1</t>
  </si>
  <si>
    <t>South Staffordshire</t>
  </si>
  <si>
    <t>5PK</t>
  </si>
  <si>
    <t>Stoke on Trent</t>
  </si>
  <si>
    <t>5PJ</t>
  </si>
  <si>
    <t>Telford and Wrekin</t>
  </si>
  <si>
    <t>5MK</t>
  </si>
  <si>
    <t>Walsall Teaching</t>
  </si>
  <si>
    <t>5M3</t>
  </si>
  <si>
    <t>Warwickshire</t>
  </si>
  <si>
    <t>5PM</t>
  </si>
  <si>
    <t>Wolverhampton City</t>
  </si>
  <si>
    <t>5MV</t>
  </si>
  <si>
    <t>Worcestershire</t>
  </si>
  <si>
    <t>5PL</t>
  </si>
  <si>
    <t>Bedfordshire</t>
  </si>
  <si>
    <t>5P2</t>
  </si>
  <si>
    <t>Cambridgeshire</t>
  </si>
  <si>
    <t>5PP</t>
  </si>
  <si>
    <t>East and North Hertfordshire</t>
  </si>
  <si>
    <t>5P3</t>
  </si>
  <si>
    <t>Great Yarmouth and Waveney</t>
  </si>
  <si>
    <t>5PR</t>
  </si>
  <si>
    <t>Luton</t>
  </si>
  <si>
    <t>5GC</t>
  </si>
  <si>
    <t>Mid Essex</t>
  </si>
  <si>
    <t>5PX</t>
  </si>
  <si>
    <t>Norfolk</t>
  </si>
  <si>
    <t>5PQ</t>
  </si>
  <si>
    <t>North East Essex</t>
  </si>
  <si>
    <t>5PW</t>
  </si>
  <si>
    <t>Peterborough</t>
  </si>
  <si>
    <t>5PN</t>
  </si>
  <si>
    <t>South East Essex</t>
  </si>
  <si>
    <t>5P1</t>
  </si>
  <si>
    <t>South West Essex</t>
  </si>
  <si>
    <t>5PY</t>
  </si>
  <si>
    <t>Suffolk</t>
  </si>
  <si>
    <t>5PT</t>
  </si>
  <si>
    <t>West Essex</t>
  </si>
  <si>
    <t>5PV</t>
  </si>
  <si>
    <t>West Hertfordshire</t>
  </si>
  <si>
    <t>5P4</t>
  </si>
  <si>
    <t>Barking and Dagenham</t>
  </si>
  <si>
    <t>5C2</t>
  </si>
  <si>
    <t>Barnet</t>
  </si>
  <si>
    <t>5A9</t>
  </si>
  <si>
    <t>Brent Teaching</t>
  </si>
  <si>
    <t>5K5</t>
  </si>
  <si>
    <t>Bromley</t>
  </si>
  <si>
    <t>5A7</t>
  </si>
  <si>
    <t>Camden</t>
  </si>
  <si>
    <t>5K7</t>
  </si>
  <si>
    <t>City and Hackney Teaching</t>
  </si>
  <si>
    <t>5C3</t>
  </si>
  <si>
    <t>Croydon</t>
  </si>
  <si>
    <t>5K9</t>
  </si>
  <si>
    <t>Ealing</t>
  </si>
  <si>
    <t>5HX</t>
  </si>
  <si>
    <t>Enfield</t>
  </si>
  <si>
    <t>5C1</t>
  </si>
  <si>
    <t>Greenwich Teaching</t>
  </si>
  <si>
    <t>5A8</t>
  </si>
  <si>
    <t>Hammersmith and Fulham</t>
  </si>
  <si>
    <t>5H1</t>
  </si>
  <si>
    <t>Haringey Teaching</t>
  </si>
  <si>
    <t>5C9</t>
  </si>
  <si>
    <t>Harrow</t>
  </si>
  <si>
    <t>5K6</t>
  </si>
  <si>
    <t>Havering</t>
  </si>
  <si>
    <t>5A4</t>
  </si>
  <si>
    <t>Hillingdon</t>
  </si>
  <si>
    <t>5AT</t>
  </si>
  <si>
    <t>Hounslow</t>
  </si>
  <si>
    <t>5HY</t>
  </si>
  <si>
    <t>Islington</t>
  </si>
  <si>
    <t>5K8</t>
  </si>
  <si>
    <t>Kensington and Chelsea</t>
  </si>
  <si>
    <t>5LA</t>
  </si>
  <si>
    <t>Kingston</t>
  </si>
  <si>
    <t>5A5</t>
  </si>
  <si>
    <t>Lambeth</t>
  </si>
  <si>
    <t>5LD</t>
  </si>
  <si>
    <t>Lewisham</t>
  </si>
  <si>
    <t>5LF</t>
  </si>
  <si>
    <t>Newham</t>
  </si>
  <si>
    <t>5C5</t>
  </si>
  <si>
    <t>Redbridge</t>
  </si>
  <si>
    <t>5NA</t>
  </si>
  <si>
    <t>Richmond and Twickenham</t>
  </si>
  <si>
    <t>5M6</t>
  </si>
  <si>
    <t>Southwark</t>
  </si>
  <si>
    <t>5LE</t>
  </si>
  <si>
    <t>Sutton and Merton</t>
  </si>
  <si>
    <t>5M7</t>
  </si>
  <si>
    <t>Tower Hamlets</t>
  </si>
  <si>
    <t>5C4</t>
  </si>
  <si>
    <t>Waltham Forest</t>
  </si>
  <si>
    <t>5NC</t>
  </si>
  <si>
    <t>Wandsworth</t>
  </si>
  <si>
    <t>5LG</t>
  </si>
  <si>
    <t>Westminster</t>
  </si>
  <si>
    <t>5LC</t>
  </si>
  <si>
    <t>Brighton and Hove City</t>
  </si>
  <si>
    <t>5LQ</t>
  </si>
  <si>
    <t>East Sussex Downs and Weald</t>
  </si>
  <si>
    <t>5P7</t>
  </si>
  <si>
    <t>Eastern and Coastal Kent</t>
  </si>
  <si>
    <t>5QA</t>
  </si>
  <si>
    <t>Hastings and Rother</t>
  </si>
  <si>
    <t>5P8</t>
  </si>
  <si>
    <t>Medway</t>
  </si>
  <si>
    <t>5L3</t>
  </si>
  <si>
    <t>Surrey</t>
  </si>
  <si>
    <t>5P5</t>
  </si>
  <si>
    <t>West Kent</t>
  </si>
  <si>
    <t>5P9</t>
  </si>
  <si>
    <t>West Sussex</t>
  </si>
  <si>
    <t>5P6</t>
  </si>
  <si>
    <t>5QG</t>
  </si>
  <si>
    <t>Berkshire West</t>
  </si>
  <si>
    <t>5QF</t>
  </si>
  <si>
    <t>Buckinghamshire</t>
  </si>
  <si>
    <t>5QD</t>
  </si>
  <si>
    <t>Hampshire</t>
  </si>
  <si>
    <t>5QC</t>
  </si>
  <si>
    <t>Isle of Wight National Health Service</t>
  </si>
  <si>
    <t>5QT</t>
  </si>
  <si>
    <t>Milton Keynes</t>
  </si>
  <si>
    <t>5CQ</t>
  </si>
  <si>
    <t>Oxfordshire</t>
  </si>
  <si>
    <t>5QE</t>
  </si>
  <si>
    <t>Portsmouth City Teaching</t>
  </si>
  <si>
    <t>5FE</t>
  </si>
  <si>
    <t>Southampton City</t>
  </si>
  <si>
    <t>5L1</t>
  </si>
  <si>
    <t>Bath and North East Somerset</t>
  </si>
  <si>
    <t>5FL</t>
  </si>
  <si>
    <t>Bournemouth and Poole Teaching</t>
  </si>
  <si>
    <t>5QN</t>
  </si>
  <si>
    <t>Bristol</t>
  </si>
  <si>
    <t>5QJ</t>
  </si>
  <si>
    <t>Cornwall and Isles of Scilly</t>
  </si>
  <si>
    <t>5QP</t>
  </si>
  <si>
    <t>Devon</t>
  </si>
  <si>
    <t>5QQ</t>
  </si>
  <si>
    <t>Dorset</t>
  </si>
  <si>
    <t>5QM</t>
  </si>
  <si>
    <t>Gloucestershire</t>
  </si>
  <si>
    <t>5QH</t>
  </si>
  <si>
    <t>North Somerset</t>
  </si>
  <si>
    <t>5M8</t>
  </si>
  <si>
    <t>Plymouth Teaching</t>
  </si>
  <si>
    <t>5F1</t>
  </si>
  <si>
    <t>Somerset</t>
  </si>
  <si>
    <t>5QL</t>
  </si>
  <si>
    <t>South Gloucestershire</t>
  </si>
  <si>
    <t>5A3</t>
  </si>
  <si>
    <t>5K3</t>
  </si>
  <si>
    <t>Torbay</t>
  </si>
  <si>
    <t>TAL</t>
  </si>
  <si>
    <t>Wiltshire</t>
  </si>
  <si>
    <t>5QK</t>
  </si>
  <si>
    <t>population</t>
  </si>
  <si>
    <t>population over 65</t>
  </si>
  <si>
    <t>Specialist (Grade 6)</t>
  </si>
  <si>
    <t>Therapist (Grade 5)</t>
  </si>
  <si>
    <t>Advanced (Grade 7)</t>
  </si>
  <si>
    <t>Inner London</t>
  </si>
  <si>
    <t>Outer London</t>
  </si>
  <si>
    <t>London Fringe</t>
  </si>
  <si>
    <t>Rest of England</t>
  </si>
  <si>
    <t>Population (Mid 2007)</t>
  </si>
  <si>
    <t>Number Surviving First Stroke</t>
  </si>
  <si>
    <t>No</t>
  </si>
  <si>
    <t>Swindon</t>
  </si>
  <si>
    <t>Tameside and Glossop</t>
  </si>
  <si>
    <t>Lincolnshire Teaching</t>
  </si>
  <si>
    <t>Berkshire East</t>
  </si>
  <si>
    <t>Base</t>
  </si>
  <si>
    <t>High Cost Area Supplement</t>
  </si>
  <si>
    <t>% Self Referring</t>
  </si>
  <si>
    <t>Low</t>
  </si>
  <si>
    <t>High</t>
  </si>
  <si>
    <t>User defined</t>
  </si>
  <si>
    <t>% Referred by GP</t>
  </si>
  <si>
    <t>GP Care</t>
  </si>
  <si>
    <t>Physio Advice - GP referral</t>
  </si>
  <si>
    <t>Physiotherapist Adivce Over a Telephone</t>
  </si>
  <si>
    <t>Physiotherapist Advice in a GP Clinic</t>
  </si>
  <si>
    <t xml:space="preserve">Physiotherapist Advice in a Physiotherpy Clinic </t>
  </si>
  <si>
    <t>Yes - In GP Clinic</t>
  </si>
  <si>
    <t>Costs of Physio Advice</t>
  </si>
  <si>
    <t>Cost of GP Care if Physio Advice Unavailable</t>
  </si>
  <si>
    <t>Physiotherapy Advice</t>
  </si>
  <si>
    <t>Referrals</t>
  </si>
  <si>
    <t>Physio Advice - Self referral</t>
  </si>
  <si>
    <t>Group Exercise</t>
  </si>
  <si>
    <t>Group Exercise Only</t>
  </si>
  <si>
    <t>Percentage Suitable</t>
  </si>
  <si>
    <t>Number of patients per "Class"</t>
  </si>
  <si>
    <t>Percentage Suitable - Grade 5 Physio</t>
  </si>
  <si>
    <t>Percentage Suitable - Grade 6 Physio</t>
  </si>
  <si>
    <t>Percentage Suitable - Grade 7 Physio</t>
  </si>
  <si>
    <t>Number of Physios Required</t>
  </si>
  <si>
    <t>Number with appointment for back pain</t>
  </si>
  <si>
    <t>Manipulation Only</t>
  </si>
  <si>
    <t>Estimated Costs</t>
  </si>
  <si>
    <t>GPs - per Consultation (11.7 mins)</t>
  </si>
  <si>
    <t>Physiotherapists- Manipulation (20 min session)</t>
  </si>
  <si>
    <t>Physiotherapists - Exercise (1 hr session)</t>
  </si>
  <si>
    <t>Manipulation</t>
  </si>
  <si>
    <t>Low (Therapist  - Grade 5)</t>
  </si>
  <si>
    <t>Base (Specialist - Grade 6)</t>
  </si>
  <si>
    <t>High (Advanced - Grade 7)</t>
  </si>
  <si>
    <t>All Cases</t>
  </si>
  <si>
    <t>NSAIDs</t>
  </si>
  <si>
    <t>Cost per weeks prescribing</t>
  </si>
  <si>
    <t>Cost per annum per patient of NSAID adverse events</t>
  </si>
  <si>
    <t>Number of GP Consultations in Six Weeks</t>
  </si>
  <si>
    <t>Number of appointments over 12 Weeks</t>
  </si>
  <si>
    <t>Number of sessions over 12 weeks</t>
  </si>
  <si>
    <t>Net Cost of Physio Advice Per Person</t>
  </si>
  <si>
    <t>% Prescribed NSAIDs</t>
  </si>
  <si>
    <t>% GP Care Only</t>
  </si>
  <si>
    <t>Estimated Reduction in Costs of NSAID Adverse Reaction</t>
  </si>
  <si>
    <t>Staff Costs</t>
  </si>
  <si>
    <t>NSAID Costs</t>
  </si>
  <si>
    <t>Total Costs</t>
  </si>
  <si>
    <t>Staff and NSAID Costs</t>
  </si>
  <si>
    <t>Return to Work</t>
  </si>
  <si>
    <t>Manipulation and/or Exercise</t>
  </si>
  <si>
    <t>Group Exercise + GP Care</t>
  </si>
  <si>
    <t>Manipulation + GP Care</t>
  </si>
  <si>
    <t>Manipulation + Group Exercise + GP Care</t>
  </si>
  <si>
    <t>Number of Outpatient Appointments for Secondary Care Treatment Over 12 Months</t>
  </si>
  <si>
    <t>Resolution at Six Weeks</t>
  </si>
  <si>
    <t>Outpatient Appointments</t>
  </si>
  <si>
    <t>Estimated Reduction in Costs of Outpatient Appointments</t>
  </si>
  <si>
    <t>Numbers Returned to Work</t>
  </si>
  <si>
    <t>Best Case</t>
  </si>
  <si>
    <t>Base Case</t>
  </si>
  <si>
    <t>Manipulation and Group Exercise</t>
  </si>
  <si>
    <t>Grade 5</t>
  </si>
  <si>
    <t>Grade 6</t>
  </si>
  <si>
    <t>Grade 7</t>
  </si>
  <si>
    <t>Number of GP Consultations Over 12 Months for Back Pain</t>
  </si>
  <si>
    <t>GP Care Only (No Manipulation or Exercise Offered)</t>
  </si>
  <si>
    <t>Cost Savings</t>
  </si>
  <si>
    <t>Specialist - Grade 6</t>
  </si>
  <si>
    <t>Therapist  - Grade 5</t>
  </si>
  <si>
    <t>Advanced - Grade 7</t>
  </si>
  <si>
    <t>Advice (20 min session)</t>
  </si>
  <si>
    <t>Manipulation (20 min session)</t>
  </si>
  <si>
    <t>Group Exercise (1 hour session)</t>
  </si>
  <si>
    <t>Physiotherapists</t>
  </si>
  <si>
    <t>number with back pain</t>
  </si>
  <si>
    <t>number who can be treated</t>
  </si>
  <si>
    <t>group exercise</t>
  </si>
  <si>
    <t>manip</t>
  </si>
  <si>
    <t>base</t>
  </si>
  <si>
    <t>best</t>
  </si>
  <si>
    <t>worst</t>
  </si>
  <si>
    <t>number who can't be treated</t>
  </si>
  <si>
    <t>cost of physio used</t>
  </si>
  <si>
    <t>cost of NSAID Adverse Reactions</t>
  </si>
  <si>
    <t>UD</t>
  </si>
  <si>
    <t>Cost of outpatient appointments</t>
  </si>
  <si>
    <t>Net Costs Versus GP Only Care</t>
  </si>
  <si>
    <t>Numbers with Chronic Back Pain at Six Weeks</t>
  </si>
  <si>
    <t>Average Percentage Reduction in Disability Compared to GP Care Only at 12 Months</t>
  </si>
  <si>
    <t>Reduction in Disability</t>
  </si>
  <si>
    <t>Estimated Annual Benefit to Exchequer of Return of One Patient to Work</t>
  </si>
  <si>
    <t>Number Needed to Return to/Maintain Work for Cost Neutrality</t>
  </si>
  <si>
    <t>Numbers (% of all with chronic back pain)</t>
  </si>
  <si>
    <t>Best</t>
  </si>
  <si>
    <t>All</t>
  </si>
  <si>
    <t>Cost of GP Care Delivered with Advice Over 6 Weeks</t>
  </si>
  <si>
    <t>Total Cost GP and Physio Advice Over 6 Weeks</t>
  </si>
  <si>
    <t>Cost Saving Per Substituted Appointment</t>
  </si>
  <si>
    <t>Annual Incidence of Acute Back Pain</t>
  </si>
  <si>
    <t>Numbers With Acute Back Pain</t>
  </si>
  <si>
    <t>Consultation (11.7 mins)</t>
  </si>
  <si>
    <t>GPs</t>
  </si>
  <si>
    <t>Worst Case</t>
  </si>
  <si>
    <t>Worst</t>
  </si>
  <si>
    <t>Base values from Cost and Staff Assumptions, Chronic Treatment and Acute Treatment sheets</t>
  </si>
  <si>
    <t>Highest effectiveness for physiotherapy interventions with lowest costs, maximum proportions suitable for physio.  Highest costs and lowest efficacy for normal care.</t>
  </si>
  <si>
    <t>Lowest effectiveness for physiotherapy intervention with highest costs, minimum proportions suitable for physio.  Lowest costs and highest efficacy for normal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</si>
</sst>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809]#,##0"/>
    <numFmt numFmtId="167" formatCode="[$£-809]#,##0.00"/>
    <numFmt numFmtId="168" formatCode="0.0%"/>
  </numFmts>
  <fonts count="12" x14ac:knownFonts="1">
    <font>
      <sz val="11"/>
      <color theme="1"/>
      <name val="Calibri"/>
      <family val="2"/>
      <scheme val="minor"/>
    </font>
    <font>
      <sz val="12"/>
      <name val="Times New Roman"/>
      <family val="1"/>
    </font>
    <font>
      <b/>
      <sz val="12"/>
      <name val="Times New Roman"/>
      <family val="1"/>
    </font>
    <font>
      <vertAlign val="superscript"/>
      <sz val="12"/>
      <name val="Times New Roman"/>
      <family val="1"/>
    </font>
    <font>
      <sz val="9"/>
      <color indexed="81"/>
      <name val="Tahoma"/>
      <family val="2"/>
    </font>
    <font>
      <b/>
      <sz val="9"/>
      <color indexed="81"/>
      <name val="Tahoma"/>
      <family val="2"/>
    </font>
    <font>
      <b/>
      <i/>
      <sz val="9"/>
      <color indexed="81"/>
      <name val="Tahoma"/>
      <family val="2"/>
    </font>
    <font>
      <sz val="11"/>
      <color theme="1"/>
      <name val="Calibri"/>
      <family val="2"/>
      <scheme val="minor"/>
    </font>
    <font>
      <b/>
      <sz val="11"/>
      <color theme="1"/>
      <name val="Calibri"/>
      <family val="2"/>
      <scheme val="minor"/>
    </font>
    <font>
      <i/>
      <sz val="11"/>
      <color theme="1"/>
      <name val="Calibri"/>
      <family val="2"/>
      <scheme val="minor"/>
    </font>
    <font>
      <b/>
      <i/>
      <u/>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112">
    <xf numFmtId="0" fontId="0" fillId="0" borderId="0" xfId="0"/>
    <xf numFmtId="0" fontId="1" fillId="0" borderId="0" xfId="0" applyFont="1" applyBorder="1"/>
    <xf numFmtId="0" fontId="1" fillId="0" borderId="0" xfId="0" applyFont="1" applyBorder="1" applyAlignment="1">
      <alignment horizontal="center"/>
    </xf>
    <xf numFmtId="164" fontId="1" fillId="0" borderId="0" xfId="0" applyNumberFormat="1" applyFont="1" applyBorder="1"/>
    <xf numFmtId="164" fontId="1" fillId="0" borderId="0" xfId="0" applyNumberFormat="1" applyFont="1" applyAlignment="1"/>
    <xf numFmtId="49" fontId="1" fillId="0" borderId="0" xfId="0" applyNumberFormat="1" applyFont="1" applyBorder="1" applyAlignment="1">
      <alignment horizontal="center"/>
    </xf>
    <xf numFmtId="0" fontId="2" fillId="0" borderId="0" xfId="0" applyFont="1" applyBorder="1"/>
    <xf numFmtId="164" fontId="2" fillId="0" borderId="0" xfId="0" applyNumberFormat="1" applyFont="1" applyBorder="1"/>
    <xf numFmtId="0" fontId="1" fillId="0" borderId="0" xfId="0" applyFont="1"/>
    <xf numFmtId="164" fontId="1" fillId="0" borderId="0" xfId="0" applyNumberFormat="1" applyFont="1"/>
    <xf numFmtId="0" fontId="1" fillId="0" borderId="0" xfId="0" applyFont="1" applyFill="1" applyAlignment="1"/>
    <xf numFmtId="164" fontId="1" fillId="0" borderId="0" xfId="0" applyNumberFormat="1" applyFont="1" applyFill="1" applyAlignment="1"/>
    <xf numFmtId="49" fontId="1" fillId="0" borderId="0" xfId="0" applyNumberFormat="1" applyFont="1" applyAlignment="1">
      <alignment horizontal="center" vertical="top"/>
    </xf>
    <xf numFmtId="0" fontId="2" fillId="0" borderId="0" xfId="0" applyFont="1" applyFill="1" applyBorder="1"/>
    <xf numFmtId="164" fontId="2" fillId="0" borderId="0" xfId="0" applyNumberFormat="1" applyFont="1" applyFill="1" applyAlignment="1"/>
    <xf numFmtId="0" fontId="1" fillId="0" borderId="0" xfId="0" applyFont="1" applyFill="1" applyBorder="1"/>
    <xf numFmtId="0" fontId="1" fillId="0" borderId="0" xfId="0" applyFont="1" applyFill="1" applyBorder="1" applyAlignment="1">
      <alignment horizontal="center"/>
    </xf>
    <xf numFmtId="0" fontId="8" fillId="0" borderId="0" xfId="0" applyFont="1"/>
    <xf numFmtId="0" fontId="0" fillId="0" borderId="0" xfId="0" applyAlignment="1">
      <alignment horizontal="center" vertical="center"/>
    </xf>
    <xf numFmtId="0" fontId="0" fillId="0" borderId="1" xfId="0" applyBorder="1"/>
    <xf numFmtId="0" fontId="9" fillId="0" borderId="1" xfId="0" applyFont="1" applyBorder="1" applyAlignment="1">
      <alignment horizontal="center" vertical="center"/>
    </xf>
    <xf numFmtId="0" fontId="0" fillId="0" borderId="0" xfId="0" applyAlignment="1">
      <alignment horizontal="left"/>
    </xf>
    <xf numFmtId="0" fontId="8" fillId="0" borderId="1" xfId="0" applyFont="1" applyBorder="1"/>
    <xf numFmtId="0" fontId="8" fillId="0" borderId="0" xfId="0" applyFont="1" applyBorder="1"/>
    <xf numFmtId="0" fontId="0" fillId="0" borderId="0" xfId="0" applyAlignment="1">
      <alignment horizontal="center"/>
    </xf>
    <xf numFmtId="0" fontId="0" fillId="0" borderId="0" xfId="0" applyBorder="1"/>
    <xf numFmtId="0" fontId="0" fillId="0" borderId="1" xfId="0" applyBorder="1" applyAlignment="1">
      <alignment horizontal="center" vertical="center"/>
    </xf>
    <xf numFmtId="166" fontId="0" fillId="0" borderId="1" xfId="0" applyNumberFormat="1" applyBorder="1" applyAlignment="1">
      <alignment horizontal="center" vertical="center"/>
    </xf>
    <xf numFmtId="0" fontId="10" fillId="0" borderId="0" xfId="0" applyFont="1" applyBorder="1"/>
    <xf numFmtId="0" fontId="10" fillId="0" borderId="0" xfId="0" applyFont="1"/>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Fill="1" applyBorder="1"/>
    <xf numFmtId="0" fontId="0" fillId="0" borderId="0" xfId="0" applyBorder="1" applyAlignment="1">
      <alignment horizontal="center" vertical="center"/>
    </xf>
    <xf numFmtId="0" fontId="8" fillId="0" borderId="3" xfId="0" applyFont="1" applyBorder="1"/>
    <xf numFmtId="0" fontId="10" fillId="0" borderId="0" xfId="0" applyFont="1" applyFill="1" applyBorder="1"/>
    <xf numFmtId="9" fontId="7" fillId="0" borderId="1" xfId="1" applyFon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167" fontId="0" fillId="0" borderId="0" xfId="0" applyNumberFormat="1"/>
    <xf numFmtId="166" fontId="0" fillId="0" borderId="0" xfId="0" applyNumberFormat="1" applyAlignment="1">
      <alignment horizontal="center"/>
    </xf>
    <xf numFmtId="9" fontId="0" fillId="0" borderId="1" xfId="0" applyNumberFormat="1" applyBorder="1" applyAlignment="1">
      <alignment horizontal="center" vertical="center"/>
    </xf>
    <xf numFmtId="167" fontId="0" fillId="0" borderId="1" xfId="0" applyNumberFormat="1" applyBorder="1" applyAlignment="1">
      <alignment horizontal="center" vertical="center"/>
    </xf>
    <xf numFmtId="168" fontId="0" fillId="0" borderId="1" xfId="0" applyNumberFormat="1" applyBorder="1" applyAlignment="1">
      <alignment horizontal="center" vertical="center"/>
    </xf>
    <xf numFmtId="0" fontId="8" fillId="0" borderId="0" xfId="0" applyFont="1" applyBorder="1" applyAlignment="1">
      <alignment horizontal="center" vertical="center"/>
    </xf>
    <xf numFmtId="9" fontId="0" fillId="0" borderId="0" xfId="0" applyNumberFormat="1" applyBorder="1" applyAlignment="1">
      <alignment horizontal="center" vertical="center"/>
    </xf>
    <xf numFmtId="0" fontId="0" fillId="0" borderId="2" xfId="0" applyFont="1" applyBorder="1" applyAlignment="1">
      <alignment horizontal="center" vertical="center"/>
    </xf>
    <xf numFmtId="0" fontId="9" fillId="0" borderId="2"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wrapText="1"/>
    </xf>
    <xf numFmtId="0" fontId="0" fillId="0" borderId="1" xfId="0" applyBorder="1" applyAlignment="1">
      <alignment vertical="center"/>
    </xf>
    <xf numFmtId="0" fontId="0" fillId="0" borderId="0" xfId="0" applyBorder="1" applyAlignment="1">
      <alignment vertical="center"/>
    </xf>
    <xf numFmtId="0" fontId="8" fillId="0" borderId="4" xfId="0" applyFont="1" applyBorder="1"/>
    <xf numFmtId="0" fontId="0" fillId="0" borderId="5" xfId="0" applyBorder="1" applyAlignment="1">
      <alignment horizontal="center" vertical="center"/>
    </xf>
    <xf numFmtId="165" fontId="0" fillId="0" borderId="1" xfId="0" applyNumberFormat="1" applyBorder="1" applyAlignment="1">
      <alignment horizontal="center"/>
    </xf>
    <xf numFmtId="165" fontId="0" fillId="0" borderId="1" xfId="0" applyNumberFormat="1" applyBorder="1" applyAlignment="1">
      <alignment horizontal="center" vertical="center"/>
    </xf>
    <xf numFmtId="1" fontId="0" fillId="0" borderId="1" xfId="0" applyNumberFormat="1" applyBorder="1" applyAlignment="1">
      <alignment horizontal="center" vertical="center"/>
    </xf>
    <xf numFmtId="1" fontId="0" fillId="0" borderId="2" xfId="0" applyNumberFormat="1" applyBorder="1" applyAlignment="1">
      <alignment horizontal="center" vertical="center"/>
    </xf>
    <xf numFmtId="166" fontId="0" fillId="0" borderId="2" xfId="0" applyNumberFormat="1" applyBorder="1" applyAlignment="1">
      <alignment horizontal="center" vertical="center"/>
    </xf>
    <xf numFmtId="166" fontId="0" fillId="2" borderId="1" xfId="0" applyNumberForma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0" fillId="2" borderId="1" xfId="0" applyFill="1" applyBorder="1" applyAlignment="1">
      <alignment horizontal="center" vertical="center"/>
    </xf>
    <xf numFmtId="1" fontId="0" fillId="0" borderId="1" xfId="0" applyNumberFormat="1" applyBorder="1" applyAlignment="1">
      <alignment vertical="center"/>
    </xf>
    <xf numFmtId="0" fontId="0" fillId="0" borderId="1" xfId="0" applyBorder="1" applyAlignment="1">
      <alignment horizontal="center" vertical="center"/>
    </xf>
    <xf numFmtId="0" fontId="8" fillId="0" borderId="2" xfId="0" applyFont="1" applyBorder="1" applyAlignment="1">
      <alignment horizontal="center" vertical="center"/>
    </xf>
    <xf numFmtId="0" fontId="0" fillId="3" borderId="0" xfId="0" applyFill="1" applyBorder="1"/>
    <xf numFmtId="166" fontId="0" fillId="3" borderId="0" xfId="0" applyNumberFormat="1" applyFill="1" applyBorder="1" applyAlignment="1">
      <alignment horizontal="center" vertical="center"/>
    </xf>
    <xf numFmtId="166" fontId="0" fillId="0" borderId="1" xfId="0" applyNumberFormat="1" applyBorder="1" applyAlignment="1">
      <alignment horizontal="center"/>
    </xf>
    <xf numFmtId="1" fontId="0" fillId="0" borderId="1" xfId="0" applyNumberFormat="1" applyBorder="1" applyAlignment="1">
      <alignment horizontal="center"/>
    </xf>
    <xf numFmtId="0" fontId="0" fillId="0" borderId="0" xfId="0"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wrapText="1"/>
    </xf>
    <xf numFmtId="0" fontId="8" fillId="0" borderId="7" xfId="0" applyFont="1" applyBorder="1" applyAlignment="1">
      <alignment horizontal="center" vertical="center"/>
    </xf>
    <xf numFmtId="0" fontId="0" fillId="0" borderId="7" xfId="0" applyBorder="1" applyAlignment="1">
      <alignment horizontal="center" vertical="center"/>
    </xf>
    <xf numFmtId="168" fontId="7" fillId="0" borderId="0" xfId="1" applyNumberFormat="1" applyFont="1" applyBorder="1" applyAlignment="1">
      <alignment horizontal="center" vertical="center"/>
    </xf>
    <xf numFmtId="168" fontId="7" fillId="0" borderId="1" xfId="1" applyNumberFormat="1" applyFont="1" applyBorder="1" applyAlignment="1">
      <alignment horizontal="center" vertical="center"/>
    </xf>
    <xf numFmtId="166" fontId="0" fillId="0" borderId="0" xfId="0" applyNumberFormat="1" applyBorder="1" applyAlignment="1">
      <alignment horizontal="center"/>
    </xf>
    <xf numFmtId="0" fontId="8" fillId="0" borderId="0" xfId="0" applyFont="1" applyBorder="1" applyAlignment="1">
      <alignment vertical="center"/>
    </xf>
    <xf numFmtId="0" fontId="11" fillId="0" borderId="0" xfId="0" applyFont="1" applyAlignment="1"/>
    <xf numFmtId="9" fontId="0" fillId="0" borderId="0" xfId="0" applyNumberFormat="1"/>
    <xf numFmtId="0" fontId="11" fillId="0" borderId="0" xfId="0" applyFont="1"/>
    <xf numFmtId="0" fontId="0" fillId="0" borderId="0" xfId="0" applyAlignment="1">
      <alignment wrapText="1"/>
    </xf>
    <xf numFmtId="0" fontId="11" fillId="0" borderId="0" xfId="0" applyFont="1" applyAlignment="1">
      <alignment horizontal="center" vertical="center"/>
    </xf>
    <xf numFmtId="9" fontId="0" fillId="2" borderId="1" xfId="0" applyNumberFormat="1" applyFill="1" applyBorder="1" applyAlignment="1">
      <alignment horizontal="center" vertical="center"/>
    </xf>
    <xf numFmtId="168" fontId="0" fillId="2" borderId="1" xfId="0" applyNumberFormat="1" applyFill="1" applyBorder="1" applyAlignment="1">
      <alignment horizontal="center" vertical="center"/>
    </xf>
    <xf numFmtId="9" fontId="7" fillId="2" borderId="1" xfId="1" applyFont="1" applyFill="1" applyBorder="1" applyAlignment="1">
      <alignment horizontal="center" vertical="center"/>
    </xf>
    <xf numFmtId="1" fontId="0" fillId="2" borderId="1" xfId="0" applyNumberFormat="1" applyFill="1" applyBorder="1" applyAlignment="1">
      <alignment horizontal="center" vertical="center"/>
    </xf>
    <xf numFmtId="1" fontId="0" fillId="2" borderId="2" xfId="0" applyNumberFormat="1" applyFill="1" applyBorder="1" applyAlignment="1">
      <alignment horizontal="center" vertical="center"/>
    </xf>
    <xf numFmtId="0" fontId="0" fillId="2" borderId="5" xfId="0" applyFill="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8" fillId="0" borderId="6" xfId="0" applyFont="1" applyBorder="1" applyAlignment="1">
      <alignment horizontal="center" wrapText="1"/>
    </xf>
    <xf numFmtId="0" fontId="8" fillId="0" borderId="9" xfId="0" applyFont="1" applyBorder="1" applyAlignment="1">
      <alignment horizont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2</xdr:row>
      <xdr:rowOff>57150</xdr:rowOff>
    </xdr:from>
    <xdr:to>
      <xdr:col>16</xdr:col>
      <xdr:colOff>247650</xdr:colOff>
      <xdr:row>28</xdr:row>
      <xdr:rowOff>104775</xdr:rowOff>
    </xdr:to>
    <xdr:pic>
      <xdr:nvPicPr>
        <xdr:cNvPr id="10307"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1333500" y="438150"/>
          <a:ext cx="8667750" cy="5000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tabSelected="1" workbookViewId="0">
      <selection activeCell="F24" sqref="F24"/>
    </sheetView>
  </sheetViews>
  <sheetFormatPr defaultRowHeight="15" x14ac:dyDescent="0.25"/>
  <sheetData/>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Z173"/>
  <sheetViews>
    <sheetView showGridLines="0" showRowColHeaders="0" workbookViewId="0">
      <selection activeCell="B2" sqref="B2"/>
    </sheetView>
  </sheetViews>
  <sheetFormatPr defaultRowHeight="15" x14ac:dyDescent="0.25"/>
  <cols>
    <col min="1" max="1" width="9.5703125" customWidth="1"/>
    <col min="2" max="2" width="57.5703125" bestFit="1" customWidth="1"/>
    <col min="3" max="3" width="9.28515625" customWidth="1"/>
    <col min="6" max="6" width="18.140625" customWidth="1"/>
    <col min="7" max="8" width="0" hidden="1" customWidth="1"/>
    <col min="9" max="9" width="18.5703125" hidden="1" customWidth="1"/>
    <col min="10" max="11" width="0" hidden="1" customWidth="1"/>
    <col min="12" max="12" width="33.85546875" hidden="1" customWidth="1"/>
    <col min="13" max="13" width="6" hidden="1" customWidth="1"/>
    <col min="14" max="14" width="10.7109375" hidden="1" customWidth="1"/>
    <col min="15" max="15" width="17.85546875" hidden="1" customWidth="1"/>
    <col min="16" max="16" width="37.28515625" hidden="1" customWidth="1"/>
    <col min="17" max="17" width="27.85546875" hidden="1" customWidth="1"/>
    <col min="18" max="18" width="38.7109375" hidden="1" customWidth="1"/>
    <col min="19" max="19" width="13.28515625" hidden="1" customWidth="1"/>
    <col min="20" max="20" width="2.85546875" hidden="1" customWidth="1"/>
    <col min="21" max="21" width="2" hidden="1" customWidth="1"/>
    <col min="22" max="22" width="2.85546875" hidden="1" customWidth="1"/>
    <col min="23" max="23" width="2" hidden="1" customWidth="1"/>
    <col min="24" max="24" width="5.85546875" hidden="1" customWidth="1"/>
    <col min="25" max="25" width="0" hidden="1" customWidth="1"/>
    <col min="26" max="26" width="43.85546875" hidden="1" customWidth="1"/>
    <col min="27" max="27" width="38.7109375" hidden="1" customWidth="1"/>
    <col min="28" max="48" width="0" hidden="1" customWidth="1"/>
    <col min="52" max="52" width="0" hidden="1" customWidth="1"/>
  </cols>
  <sheetData>
    <row r="1" spans="2:52" x14ac:dyDescent="0.25">
      <c r="L1" t="s">
        <v>0</v>
      </c>
      <c r="N1" t="s">
        <v>296</v>
      </c>
      <c r="O1" t="s">
        <v>297</v>
      </c>
      <c r="P1" t="s">
        <v>338</v>
      </c>
      <c r="Q1" t="s">
        <v>306</v>
      </c>
    </row>
    <row r="2" spans="2:52" ht="15.75" x14ac:dyDescent="0.25">
      <c r="B2" s="22" t="s">
        <v>0</v>
      </c>
      <c r="C2" s="95" t="s">
        <v>310</v>
      </c>
      <c r="D2" s="95"/>
      <c r="E2" s="95"/>
      <c r="F2" s="95"/>
      <c r="L2" s="1" t="s">
        <v>26</v>
      </c>
      <c r="M2" s="2" t="s">
        <v>27</v>
      </c>
      <c r="N2" s="3">
        <v>305.60000000000002</v>
      </c>
      <c r="O2" s="3">
        <v>57.1</v>
      </c>
      <c r="P2" s="3">
        <f>N2*0.05*1000</f>
        <v>15280.000000000002</v>
      </c>
      <c r="Q2" s="3"/>
      <c r="R2" s="41" t="s">
        <v>299</v>
      </c>
      <c r="S2" t="s">
        <v>301</v>
      </c>
      <c r="U2">
        <f>IF(C10="None",1,2)</f>
        <v>2</v>
      </c>
      <c r="W2">
        <f>IF(C10="None",4,IF(C10="Inner London",1,IF(C10="Outer London",2,3)))</f>
        <v>3</v>
      </c>
      <c r="X2" t="e">
        <f>IF(#REF!="yes",1,2)</f>
        <v>#REF!</v>
      </c>
    </row>
    <row r="3" spans="2:52" ht="15.75" x14ac:dyDescent="0.25">
      <c r="C3" s="24"/>
      <c r="D3" s="24"/>
      <c r="E3" s="24"/>
      <c r="F3" s="24"/>
      <c r="L3" s="1" t="s">
        <v>176</v>
      </c>
      <c r="M3" s="2" t="s">
        <v>177</v>
      </c>
      <c r="N3" s="11">
        <v>166.9</v>
      </c>
      <c r="O3" s="11">
        <v>24</v>
      </c>
      <c r="P3" s="3">
        <f t="shared" ref="P3:P66" si="0">N3*0.05*1000</f>
        <v>8345</v>
      </c>
      <c r="Q3" s="11"/>
      <c r="R3" s="41" t="s">
        <v>298</v>
      </c>
      <c r="S3" t="s">
        <v>302</v>
      </c>
    </row>
    <row r="4" spans="2:52" ht="15.75" x14ac:dyDescent="0.25">
      <c r="B4" s="22" t="s">
        <v>305</v>
      </c>
      <c r="C4" s="96">
        <f>VLOOKUP(C2,$L$2:$Q$155,3,FALSE)*1000</f>
        <v>695200</v>
      </c>
      <c r="D4" s="96"/>
      <c r="E4" s="96"/>
      <c r="F4" s="96"/>
      <c r="L4" s="1"/>
      <c r="M4" s="2"/>
      <c r="N4" s="11"/>
      <c r="O4" s="11"/>
      <c r="P4" s="3"/>
      <c r="Q4" s="11"/>
      <c r="R4" s="69"/>
    </row>
    <row r="5" spans="2:52" ht="15.75" x14ac:dyDescent="0.25">
      <c r="C5" s="24"/>
      <c r="D5" s="24"/>
      <c r="E5" s="24"/>
      <c r="F5" s="24"/>
      <c r="L5" s="1"/>
      <c r="M5" s="2"/>
      <c r="N5" s="11"/>
      <c r="O5" s="11"/>
      <c r="P5" s="3"/>
      <c r="Q5" s="11"/>
      <c r="R5" s="69"/>
      <c r="AZ5" s="85">
        <v>0.02</v>
      </c>
    </row>
    <row r="6" spans="2:52" ht="15.75" x14ac:dyDescent="0.25">
      <c r="B6" s="22" t="s">
        <v>413</v>
      </c>
      <c r="C6" s="98">
        <v>0.05</v>
      </c>
      <c r="D6" s="97"/>
      <c r="E6" s="97"/>
      <c r="F6" s="97"/>
      <c r="L6" s="1" t="s">
        <v>178</v>
      </c>
      <c r="M6" s="2" t="s">
        <v>179</v>
      </c>
      <c r="N6" s="11">
        <v>329.7</v>
      </c>
      <c r="O6" s="11">
        <v>53.6</v>
      </c>
      <c r="P6" s="3">
        <f t="shared" si="0"/>
        <v>16485</v>
      </c>
      <c r="Q6" s="11"/>
      <c r="R6" s="41" t="s">
        <v>300</v>
      </c>
      <c r="S6" t="s">
        <v>303</v>
      </c>
      <c r="AZ6" s="85">
        <v>0.03</v>
      </c>
    </row>
    <row r="7" spans="2:52" ht="15.75" x14ac:dyDescent="0.25">
      <c r="C7" s="24"/>
      <c r="D7" s="24"/>
      <c r="E7" s="24"/>
      <c r="F7" s="24"/>
      <c r="I7" s="26" t="s">
        <v>299</v>
      </c>
      <c r="L7" s="1" t="s">
        <v>71</v>
      </c>
      <c r="M7" s="2" t="s">
        <v>72</v>
      </c>
      <c r="N7" s="11">
        <v>224.6</v>
      </c>
      <c r="O7" s="11">
        <v>43.4</v>
      </c>
      <c r="P7" s="3">
        <f t="shared" si="0"/>
        <v>11230</v>
      </c>
      <c r="Q7" s="11"/>
      <c r="S7" t="s">
        <v>304</v>
      </c>
      <c r="AZ7" s="85">
        <v>0.04</v>
      </c>
    </row>
    <row r="8" spans="2:52" ht="15.75" x14ac:dyDescent="0.25">
      <c r="B8" s="22" t="s">
        <v>414</v>
      </c>
      <c r="C8" s="97">
        <f>C4*C6</f>
        <v>34760</v>
      </c>
      <c r="D8" s="97"/>
      <c r="E8" s="97"/>
      <c r="F8" s="97"/>
      <c r="I8" s="26" t="s">
        <v>298</v>
      </c>
      <c r="L8" s="1" t="s">
        <v>99</v>
      </c>
      <c r="M8" s="2" t="s">
        <v>100</v>
      </c>
      <c r="N8" s="11">
        <v>111.7</v>
      </c>
      <c r="O8" s="11">
        <v>23</v>
      </c>
      <c r="P8" s="3">
        <f t="shared" si="0"/>
        <v>5585.0000000000009</v>
      </c>
      <c r="Q8" s="11"/>
      <c r="AZ8" s="85">
        <v>0.05</v>
      </c>
    </row>
    <row r="9" spans="2:52" ht="15.75" x14ac:dyDescent="0.25">
      <c r="C9" s="24"/>
      <c r="D9" s="24"/>
      <c r="E9" s="24"/>
      <c r="F9" s="24"/>
      <c r="I9" s="26" t="s">
        <v>300</v>
      </c>
      <c r="L9" s="1" t="s">
        <v>269</v>
      </c>
      <c r="M9" s="2" t="s">
        <v>270</v>
      </c>
      <c r="N9" s="11">
        <v>178.3</v>
      </c>
      <c r="O9" s="11">
        <v>35.6</v>
      </c>
      <c r="P9" s="3">
        <f t="shared" si="0"/>
        <v>8915.0000000000018</v>
      </c>
      <c r="Q9" s="11"/>
      <c r="Z9" t="s">
        <v>321</v>
      </c>
    </row>
    <row r="10" spans="2:52" ht="15.75" x14ac:dyDescent="0.25">
      <c r="B10" s="22" t="s">
        <v>313</v>
      </c>
      <c r="C10" s="95" t="s">
        <v>304</v>
      </c>
      <c r="D10" s="95"/>
      <c r="E10" s="95"/>
      <c r="F10" s="95"/>
      <c r="L10" s="1" t="s">
        <v>148</v>
      </c>
      <c r="M10" s="2" t="s">
        <v>149</v>
      </c>
      <c r="N10" s="11">
        <v>407</v>
      </c>
      <c r="O10" s="11">
        <v>70.8</v>
      </c>
      <c r="P10" s="3">
        <f t="shared" si="0"/>
        <v>20350</v>
      </c>
      <c r="Q10" s="11"/>
      <c r="Z10" t="s">
        <v>322</v>
      </c>
    </row>
    <row r="11" spans="2:52" ht="15.75" x14ac:dyDescent="0.25">
      <c r="L11" s="15" t="s">
        <v>311</v>
      </c>
      <c r="M11" s="16" t="s">
        <v>252</v>
      </c>
      <c r="N11" s="11">
        <v>386.7</v>
      </c>
      <c r="O11" s="11">
        <v>58.7</v>
      </c>
      <c r="P11" s="3">
        <f t="shared" si="0"/>
        <v>19335</v>
      </c>
      <c r="Q11" s="11"/>
      <c r="S11" t="s">
        <v>304</v>
      </c>
      <c r="Z11" t="s">
        <v>323</v>
      </c>
    </row>
    <row r="12" spans="2:52" ht="15.75" x14ac:dyDescent="0.25">
      <c r="L12" s="15" t="s">
        <v>253</v>
      </c>
      <c r="M12" s="16" t="s">
        <v>254</v>
      </c>
      <c r="N12" s="11">
        <v>451</v>
      </c>
      <c r="O12" s="11">
        <v>71.7</v>
      </c>
      <c r="P12" s="3">
        <f t="shared" si="0"/>
        <v>22550</v>
      </c>
      <c r="Q12" s="11"/>
      <c r="AU12" t="s">
        <v>376</v>
      </c>
    </row>
    <row r="13" spans="2:52" ht="15.75" x14ac:dyDescent="0.25">
      <c r="L13" s="1"/>
      <c r="M13" s="2"/>
      <c r="N13" s="11"/>
      <c r="O13" s="11"/>
      <c r="P13" s="3">
        <f t="shared" si="0"/>
        <v>0</v>
      </c>
      <c r="Q13" s="11"/>
      <c r="AU13" t="s">
        <v>377</v>
      </c>
    </row>
    <row r="14" spans="2:52" ht="15.75" x14ac:dyDescent="0.25">
      <c r="L14" s="1"/>
      <c r="M14" s="2"/>
      <c r="N14" s="11"/>
      <c r="O14" s="11"/>
      <c r="P14" s="3">
        <f t="shared" si="0"/>
        <v>0</v>
      </c>
      <c r="Q14" s="11"/>
      <c r="AU14" t="s">
        <v>378</v>
      </c>
    </row>
    <row r="15" spans="2:52" ht="15.75" x14ac:dyDescent="0.25">
      <c r="L15" s="1" t="s">
        <v>28</v>
      </c>
      <c r="M15" s="2" t="s">
        <v>29</v>
      </c>
      <c r="N15" s="4">
        <v>140.9</v>
      </c>
      <c r="O15" s="4">
        <v>21.2</v>
      </c>
      <c r="P15" s="3">
        <f t="shared" si="0"/>
        <v>7045.0000000000009</v>
      </c>
      <c r="Q15" s="11"/>
    </row>
    <row r="16" spans="2:52" ht="15.75" x14ac:dyDescent="0.25">
      <c r="L16" s="1" t="s">
        <v>30</v>
      </c>
      <c r="M16" s="2" t="s">
        <v>31</v>
      </c>
      <c r="N16" s="3">
        <v>142.5</v>
      </c>
      <c r="O16" s="3">
        <v>31.4</v>
      </c>
      <c r="P16" s="3">
        <f t="shared" si="0"/>
        <v>7125</v>
      </c>
      <c r="Q16" s="11"/>
    </row>
    <row r="17" spans="12:27" ht="15.75" x14ac:dyDescent="0.25">
      <c r="L17" s="1" t="s">
        <v>32</v>
      </c>
      <c r="M17" s="2" t="s">
        <v>33</v>
      </c>
      <c r="N17" s="3">
        <v>262.3</v>
      </c>
      <c r="O17" s="3">
        <v>47.6</v>
      </c>
      <c r="P17" s="3">
        <f t="shared" si="0"/>
        <v>13115.000000000002</v>
      </c>
      <c r="Q17" s="11"/>
    </row>
    <row r="18" spans="12:27" ht="15.75" x14ac:dyDescent="0.25">
      <c r="L18" s="1" t="s">
        <v>271</v>
      </c>
      <c r="M18" s="2" t="s">
        <v>272</v>
      </c>
      <c r="N18" s="11">
        <v>301.2</v>
      </c>
      <c r="O18" s="11">
        <v>69.599999999999994</v>
      </c>
      <c r="P18" s="3">
        <f t="shared" si="0"/>
        <v>15060</v>
      </c>
      <c r="Q18" s="4"/>
    </row>
    <row r="19" spans="12:27" ht="15.75" x14ac:dyDescent="0.25">
      <c r="L19" s="1" t="s">
        <v>73</v>
      </c>
      <c r="M19" s="2" t="s">
        <v>74</v>
      </c>
      <c r="N19" s="11">
        <v>497.4</v>
      </c>
      <c r="O19" s="11">
        <v>79.3</v>
      </c>
      <c r="P19" s="3">
        <f t="shared" si="0"/>
        <v>24870</v>
      </c>
      <c r="Q19" s="11"/>
    </row>
    <row r="20" spans="12:27" ht="15.75" x14ac:dyDescent="0.25">
      <c r="L20" s="1" t="s">
        <v>180</v>
      </c>
      <c r="M20" s="2" t="s">
        <v>181</v>
      </c>
      <c r="N20" s="11">
        <v>270</v>
      </c>
      <c r="O20" s="11">
        <v>37.6</v>
      </c>
      <c r="P20" s="3">
        <f t="shared" si="0"/>
        <v>13500</v>
      </c>
      <c r="Q20" s="11"/>
      <c r="AA20" s="41" t="s">
        <v>299</v>
      </c>
    </row>
    <row r="21" spans="12:27" ht="15.75" x14ac:dyDescent="0.25">
      <c r="L21" s="1" t="s">
        <v>236</v>
      </c>
      <c r="M21" s="2" t="s">
        <v>237</v>
      </c>
      <c r="N21" s="11">
        <v>253.5</v>
      </c>
      <c r="O21" s="11">
        <v>42.5</v>
      </c>
      <c r="P21" s="3">
        <f t="shared" si="0"/>
        <v>12675</v>
      </c>
      <c r="Q21" s="3"/>
      <c r="AA21" s="41" t="s">
        <v>298</v>
      </c>
    </row>
    <row r="22" spans="12:27" ht="15.75" x14ac:dyDescent="0.25">
      <c r="L22" s="1" t="s">
        <v>273</v>
      </c>
      <c r="M22" s="2" t="s">
        <v>274</v>
      </c>
      <c r="N22" s="11">
        <v>416.4</v>
      </c>
      <c r="O22" s="11">
        <v>63.8</v>
      </c>
      <c r="P22" s="3">
        <f t="shared" si="0"/>
        <v>20820</v>
      </c>
      <c r="Q22" s="4"/>
      <c r="AA22" s="41" t="s">
        <v>300</v>
      </c>
    </row>
    <row r="23" spans="12:27" ht="15.75" x14ac:dyDescent="0.25">
      <c r="L23" s="1" t="s">
        <v>182</v>
      </c>
      <c r="M23" s="2" t="s">
        <v>183</v>
      </c>
      <c r="N23" s="11">
        <v>300.7</v>
      </c>
      <c r="O23" s="11">
        <v>58.7</v>
      </c>
      <c r="P23" s="3">
        <f t="shared" si="0"/>
        <v>15035</v>
      </c>
      <c r="Q23" s="3"/>
      <c r="AA23" t="s">
        <v>307</v>
      </c>
    </row>
    <row r="24" spans="12:27" ht="15.75" x14ac:dyDescent="0.25">
      <c r="L24" s="15" t="s">
        <v>255</v>
      </c>
      <c r="M24" s="16" t="s">
        <v>256</v>
      </c>
      <c r="N24" s="11">
        <v>504.2</v>
      </c>
      <c r="O24" s="11">
        <v>93.1</v>
      </c>
      <c r="P24" s="3">
        <f t="shared" si="0"/>
        <v>25210</v>
      </c>
      <c r="Q24" s="11"/>
      <c r="AA24" t="s">
        <v>324</v>
      </c>
    </row>
    <row r="25" spans="12:27" ht="15.75" x14ac:dyDescent="0.25">
      <c r="L25" s="1"/>
      <c r="M25" s="2"/>
      <c r="N25" s="4"/>
      <c r="O25" s="4"/>
      <c r="P25" s="3">
        <f t="shared" si="0"/>
        <v>0</v>
      </c>
      <c r="Q25" s="11"/>
    </row>
    <row r="26" spans="12:27" ht="15.75" x14ac:dyDescent="0.25">
      <c r="L26" s="1" t="s">
        <v>75</v>
      </c>
      <c r="M26" s="2" t="s">
        <v>76</v>
      </c>
      <c r="N26" s="11">
        <v>200.1</v>
      </c>
      <c r="O26" s="11">
        <v>36.4</v>
      </c>
      <c r="P26" s="3">
        <f t="shared" si="0"/>
        <v>10005</v>
      </c>
      <c r="Q26" s="11"/>
    </row>
    <row r="27" spans="12:27" ht="15.75" x14ac:dyDescent="0.25">
      <c r="L27" s="1" t="s">
        <v>150</v>
      </c>
      <c r="M27" s="2" t="s">
        <v>151</v>
      </c>
      <c r="N27" s="11">
        <v>597.4</v>
      </c>
      <c r="O27" s="11">
        <v>108.6</v>
      </c>
      <c r="P27" s="3">
        <f t="shared" si="0"/>
        <v>29870</v>
      </c>
      <c r="Q27" s="11"/>
    </row>
    <row r="28" spans="12:27" ht="15.75" x14ac:dyDescent="0.25">
      <c r="L28" s="1" t="s">
        <v>184</v>
      </c>
      <c r="M28" s="2" t="s">
        <v>185</v>
      </c>
      <c r="N28" s="11">
        <v>231.9</v>
      </c>
      <c r="O28" s="11">
        <v>25.2</v>
      </c>
      <c r="P28" s="3">
        <f t="shared" si="0"/>
        <v>11595</v>
      </c>
      <c r="Q28" s="11"/>
    </row>
    <row r="29" spans="12:27" ht="15.75" x14ac:dyDescent="0.25">
      <c r="L29" s="1" t="s">
        <v>34</v>
      </c>
      <c r="M29" s="2" t="s">
        <v>35</v>
      </c>
      <c r="N29" s="3">
        <v>453</v>
      </c>
      <c r="O29" s="3">
        <v>93.6</v>
      </c>
      <c r="P29" s="3">
        <f t="shared" si="0"/>
        <v>22650.000000000004</v>
      </c>
      <c r="Q29" s="11"/>
    </row>
    <row r="30" spans="12:27" ht="15.75" x14ac:dyDescent="0.25">
      <c r="L30" s="1" t="s">
        <v>36</v>
      </c>
      <c r="M30" s="2" t="s">
        <v>37</v>
      </c>
      <c r="N30" s="3">
        <v>452.5</v>
      </c>
      <c r="O30" s="3">
        <v>85.9</v>
      </c>
      <c r="P30" s="3">
        <f t="shared" si="0"/>
        <v>22625</v>
      </c>
      <c r="Q30" s="11"/>
    </row>
    <row r="31" spans="12:27" ht="15.75" x14ac:dyDescent="0.25">
      <c r="L31" s="1" t="s">
        <v>186</v>
      </c>
      <c r="M31" s="2" t="s">
        <v>187</v>
      </c>
      <c r="N31" s="11">
        <v>217.6</v>
      </c>
      <c r="O31" s="11">
        <v>22.8</v>
      </c>
      <c r="P31" s="3">
        <f t="shared" si="0"/>
        <v>10880</v>
      </c>
      <c r="Q31" s="11"/>
    </row>
    <row r="32" spans="12:27" ht="15.75" x14ac:dyDescent="0.25">
      <c r="L32" s="1" t="s">
        <v>275</v>
      </c>
      <c r="M32" s="2" t="s">
        <v>276</v>
      </c>
      <c r="N32" s="11">
        <v>531.70000000000005</v>
      </c>
      <c r="O32" s="11">
        <v>129.1</v>
      </c>
      <c r="P32" s="3">
        <f t="shared" si="0"/>
        <v>26585.000000000004</v>
      </c>
      <c r="Q32" s="11"/>
    </row>
    <row r="33" spans="12:17" ht="15.75" x14ac:dyDescent="0.25">
      <c r="L33" s="1" t="s">
        <v>2</v>
      </c>
      <c r="M33" s="2" t="s">
        <v>3</v>
      </c>
      <c r="N33" s="3">
        <v>504.9</v>
      </c>
      <c r="O33" s="3">
        <v>102.3</v>
      </c>
      <c r="P33" s="3">
        <f t="shared" si="0"/>
        <v>25245</v>
      </c>
      <c r="Q33" s="11"/>
    </row>
    <row r="34" spans="12:17" ht="15.75" x14ac:dyDescent="0.25">
      <c r="L34" s="1" t="s">
        <v>116</v>
      </c>
      <c r="M34" s="2" t="s">
        <v>117</v>
      </c>
      <c r="N34" s="11">
        <v>306.7</v>
      </c>
      <c r="O34" s="11">
        <v>53</v>
      </c>
      <c r="P34" s="3">
        <f t="shared" si="0"/>
        <v>15335</v>
      </c>
      <c r="Q34" s="11"/>
    </row>
    <row r="35" spans="12:17" ht="15.75" x14ac:dyDescent="0.25">
      <c r="L35" s="1" t="s">
        <v>188</v>
      </c>
      <c r="M35" s="2" t="s">
        <v>189</v>
      </c>
      <c r="N35" s="11">
        <v>339.5</v>
      </c>
      <c r="O35" s="11">
        <v>51.6</v>
      </c>
      <c r="P35" s="3">
        <f t="shared" si="0"/>
        <v>16975</v>
      </c>
      <c r="Q35" s="3"/>
    </row>
    <row r="36" spans="12:17" ht="15.75" x14ac:dyDescent="0.25">
      <c r="L36" s="1" t="s">
        <v>38</v>
      </c>
      <c r="M36" s="2" t="s">
        <v>39</v>
      </c>
      <c r="N36" s="3">
        <v>496.9</v>
      </c>
      <c r="O36" s="3">
        <v>113.2</v>
      </c>
      <c r="P36" s="3">
        <f t="shared" si="0"/>
        <v>24845</v>
      </c>
      <c r="Q36" s="3"/>
    </row>
    <row r="37" spans="12:17" ht="15.75" x14ac:dyDescent="0.25">
      <c r="L37" s="1" t="s">
        <v>4</v>
      </c>
      <c r="M37" s="2" t="s">
        <v>5</v>
      </c>
      <c r="N37" s="4">
        <v>100</v>
      </c>
      <c r="O37" s="4">
        <v>20.100000000000001</v>
      </c>
      <c r="P37" s="3">
        <f t="shared" si="0"/>
        <v>5000</v>
      </c>
      <c r="Q37" s="3"/>
    </row>
    <row r="38" spans="12:17" ht="15.75" x14ac:dyDescent="0.25">
      <c r="L38" s="1" t="s">
        <v>101</v>
      </c>
      <c r="M38" s="2" t="s">
        <v>102</v>
      </c>
      <c r="N38" s="11">
        <v>237.9</v>
      </c>
      <c r="O38" s="11">
        <v>43.3</v>
      </c>
      <c r="P38" s="3">
        <f t="shared" si="0"/>
        <v>11895.000000000002</v>
      </c>
      <c r="Q38" s="11"/>
    </row>
    <row r="39" spans="12:17" ht="15.75" x14ac:dyDescent="0.25">
      <c r="L39" s="1" t="s">
        <v>103</v>
      </c>
      <c r="M39" s="2" t="s">
        <v>104</v>
      </c>
      <c r="N39" s="11">
        <v>724.1</v>
      </c>
      <c r="O39" s="11">
        <v>150.9</v>
      </c>
      <c r="P39" s="3">
        <f t="shared" si="0"/>
        <v>36205.000000000007</v>
      </c>
      <c r="Q39" s="11"/>
    </row>
    <row r="40" spans="12:17" ht="15.75" x14ac:dyDescent="0.25">
      <c r="L40" s="1" t="s">
        <v>277</v>
      </c>
      <c r="M40" s="2" t="s">
        <v>278</v>
      </c>
      <c r="N40" s="11">
        <v>750.1</v>
      </c>
      <c r="O40" s="11">
        <v>185</v>
      </c>
      <c r="P40" s="3">
        <f t="shared" si="0"/>
        <v>37505</v>
      </c>
      <c r="Q40" s="11"/>
    </row>
    <row r="41" spans="12:17" ht="15.75" x14ac:dyDescent="0.25">
      <c r="L41" s="1" t="s">
        <v>77</v>
      </c>
      <c r="M41" s="2" t="s">
        <v>78</v>
      </c>
      <c r="N41" s="11">
        <v>291.10000000000002</v>
      </c>
      <c r="O41" s="11">
        <v>57.5</v>
      </c>
      <c r="P41" s="3">
        <f t="shared" si="0"/>
        <v>14555.000000000002</v>
      </c>
      <c r="Q41" s="11"/>
    </row>
    <row r="42" spans="12:17" ht="15.75" x14ac:dyDescent="0.25">
      <c r="L42" s="1" t="s">
        <v>279</v>
      </c>
      <c r="M42" s="2" t="s">
        <v>280</v>
      </c>
      <c r="N42" s="11">
        <v>406.8</v>
      </c>
      <c r="O42" s="11">
        <v>114</v>
      </c>
      <c r="P42" s="3">
        <f t="shared" si="0"/>
        <v>20340.000000000004</v>
      </c>
      <c r="Q42" s="11"/>
    </row>
    <row r="43" spans="12:17" ht="15.75" x14ac:dyDescent="0.25">
      <c r="L43" s="1" t="s">
        <v>118</v>
      </c>
      <c r="M43" s="2" t="s">
        <v>119</v>
      </c>
      <c r="N43" s="11">
        <v>305.39999999999998</v>
      </c>
      <c r="O43" s="11">
        <v>63.5</v>
      </c>
      <c r="P43" s="3">
        <f t="shared" si="0"/>
        <v>15270</v>
      </c>
      <c r="Q43" s="11"/>
    </row>
    <row r="44" spans="12:17" ht="15.75" x14ac:dyDescent="0.25">
      <c r="L44" s="1" t="s">
        <v>190</v>
      </c>
      <c r="M44" s="2" t="s">
        <v>191</v>
      </c>
      <c r="N44" s="11">
        <v>305.3</v>
      </c>
      <c r="O44" s="11">
        <v>40.9</v>
      </c>
      <c r="P44" s="3">
        <f t="shared" si="0"/>
        <v>15265</v>
      </c>
      <c r="Q44" s="4"/>
    </row>
    <row r="45" spans="12:17" ht="15.75" x14ac:dyDescent="0.25">
      <c r="L45" s="1" t="s">
        <v>152</v>
      </c>
      <c r="M45" s="2" t="s">
        <v>153</v>
      </c>
      <c r="N45" s="11">
        <v>532.1</v>
      </c>
      <c r="O45" s="11">
        <v>95.9</v>
      </c>
      <c r="P45" s="3">
        <f t="shared" si="0"/>
        <v>26605.000000000004</v>
      </c>
      <c r="Q45" s="11"/>
    </row>
    <row r="46" spans="12:17" ht="15.75" x14ac:dyDescent="0.25">
      <c r="L46" s="1" t="s">
        <v>40</v>
      </c>
      <c r="M46" s="2" t="s">
        <v>41</v>
      </c>
      <c r="N46" s="9">
        <v>384.8</v>
      </c>
      <c r="O46" s="9">
        <v>71.8</v>
      </c>
      <c r="P46" s="3">
        <f t="shared" si="0"/>
        <v>19240.000000000004</v>
      </c>
      <c r="Q46" s="4"/>
    </row>
    <row r="47" spans="12:17" ht="15.75" x14ac:dyDescent="0.25">
      <c r="L47" s="1" t="s">
        <v>79</v>
      </c>
      <c r="M47" s="2" t="s">
        <v>80</v>
      </c>
      <c r="N47" s="11">
        <v>333</v>
      </c>
      <c r="O47" s="11">
        <v>77.8</v>
      </c>
      <c r="P47" s="3">
        <f t="shared" si="0"/>
        <v>16650.000000000004</v>
      </c>
      <c r="Q47" s="11"/>
    </row>
    <row r="48" spans="12:17" ht="15.75" x14ac:dyDescent="0.25">
      <c r="L48" s="1" t="s">
        <v>238</v>
      </c>
      <c r="M48" s="2" t="s">
        <v>239</v>
      </c>
      <c r="N48" s="11">
        <v>331.7</v>
      </c>
      <c r="O48" s="11">
        <v>86.9</v>
      </c>
      <c r="P48" s="3">
        <f t="shared" si="0"/>
        <v>16585</v>
      </c>
      <c r="Q48" s="11"/>
    </row>
    <row r="49" spans="12:17" ht="15.75" x14ac:dyDescent="0.25">
      <c r="L49" s="1" t="s">
        <v>240</v>
      </c>
      <c r="M49" s="2" t="s">
        <v>241</v>
      </c>
      <c r="N49" s="11">
        <v>726.7</v>
      </c>
      <c r="O49" s="11">
        <v>158.80000000000001</v>
      </c>
      <c r="P49" s="3">
        <f t="shared" si="0"/>
        <v>36335</v>
      </c>
      <c r="Q49" s="11"/>
    </row>
    <row r="50" spans="12:17" ht="15.75" x14ac:dyDescent="0.25">
      <c r="L50" s="1" t="s">
        <v>192</v>
      </c>
      <c r="M50" s="2" t="s">
        <v>193</v>
      </c>
      <c r="N50" s="11">
        <v>285.10000000000002</v>
      </c>
      <c r="O50" s="11">
        <v>44.4</v>
      </c>
      <c r="P50" s="3">
        <f t="shared" si="0"/>
        <v>14255.000000000002</v>
      </c>
      <c r="Q50" s="11"/>
    </row>
    <row r="51" spans="12:17" ht="15.75" x14ac:dyDescent="0.25">
      <c r="L51" s="1" t="s">
        <v>6</v>
      </c>
      <c r="M51" s="2" t="s">
        <v>7</v>
      </c>
      <c r="N51" s="3">
        <v>190.5</v>
      </c>
      <c r="O51" s="3">
        <v>39.299999999999997</v>
      </c>
      <c r="P51" s="3">
        <f t="shared" si="0"/>
        <v>9525</v>
      </c>
      <c r="Q51" s="11"/>
    </row>
    <row r="52" spans="12:17" ht="15.75" x14ac:dyDescent="0.25">
      <c r="L52" s="1" t="s">
        <v>281</v>
      </c>
      <c r="M52" s="2" t="s">
        <v>282</v>
      </c>
      <c r="N52" s="11">
        <v>582.6</v>
      </c>
      <c r="O52" s="11">
        <v>122.9</v>
      </c>
      <c r="P52" s="3">
        <f t="shared" si="0"/>
        <v>29130.000000000004</v>
      </c>
      <c r="Q52" s="11"/>
    </row>
    <row r="53" spans="12:17" ht="15.75" x14ac:dyDescent="0.25">
      <c r="L53" s="1" t="s">
        <v>154</v>
      </c>
      <c r="M53" s="2" t="s">
        <v>155</v>
      </c>
      <c r="N53" s="11">
        <v>211.3</v>
      </c>
      <c r="O53" s="11">
        <v>53.3</v>
      </c>
      <c r="P53" s="3">
        <f t="shared" si="0"/>
        <v>10565.000000000002</v>
      </c>
      <c r="Q53" s="3"/>
    </row>
    <row r="54" spans="12:17" ht="15.75" x14ac:dyDescent="0.25">
      <c r="L54" s="1" t="s">
        <v>194</v>
      </c>
      <c r="M54" s="2" t="s">
        <v>195</v>
      </c>
      <c r="N54" s="11">
        <v>223.1</v>
      </c>
      <c r="O54" s="11">
        <v>30.5</v>
      </c>
      <c r="P54" s="3">
        <f t="shared" si="0"/>
        <v>11155.000000000002</v>
      </c>
      <c r="Q54" s="4"/>
    </row>
    <row r="55" spans="12:17" ht="15.75" x14ac:dyDescent="0.25">
      <c r="L55" s="1" t="s">
        <v>42</v>
      </c>
      <c r="M55" s="2" t="s">
        <v>43</v>
      </c>
      <c r="N55" s="3">
        <v>297</v>
      </c>
      <c r="O55" s="3">
        <v>54.9</v>
      </c>
      <c r="P55" s="3">
        <f t="shared" si="0"/>
        <v>14850.000000000002</v>
      </c>
      <c r="Q55" s="3"/>
    </row>
    <row r="56" spans="12:17" ht="15.75" x14ac:dyDescent="0.25">
      <c r="L56" s="1" t="s">
        <v>196</v>
      </c>
      <c r="M56" s="2" t="s">
        <v>197</v>
      </c>
      <c r="N56" s="11">
        <v>172.5</v>
      </c>
      <c r="O56" s="11">
        <v>20.7</v>
      </c>
      <c r="P56" s="3">
        <f t="shared" si="0"/>
        <v>8625</v>
      </c>
      <c r="Q56" s="4"/>
    </row>
    <row r="57" spans="12:17" ht="15.75" x14ac:dyDescent="0.25">
      <c r="L57" s="15" t="s">
        <v>257</v>
      </c>
      <c r="M57" s="16" t="s">
        <v>258</v>
      </c>
      <c r="N57" s="11">
        <v>1276.8</v>
      </c>
      <c r="O57" s="11">
        <v>262.39999999999998</v>
      </c>
      <c r="P57" s="3">
        <f t="shared" si="0"/>
        <v>63840</v>
      </c>
      <c r="Q57" s="11"/>
    </row>
    <row r="58" spans="12:17" ht="15.75" x14ac:dyDescent="0.25">
      <c r="L58" s="1" t="s">
        <v>198</v>
      </c>
      <c r="M58" s="2" t="s">
        <v>199</v>
      </c>
      <c r="N58" s="11">
        <v>224.7</v>
      </c>
      <c r="O58" s="11">
        <v>25</v>
      </c>
      <c r="P58" s="3">
        <f t="shared" si="0"/>
        <v>11235</v>
      </c>
      <c r="Q58" s="11"/>
    </row>
    <row r="59" spans="12:17" ht="15.75" x14ac:dyDescent="0.25">
      <c r="L59" s="1" t="s">
        <v>200</v>
      </c>
      <c r="M59" s="2" t="s">
        <v>201</v>
      </c>
      <c r="N59" s="11">
        <v>214.6</v>
      </c>
      <c r="O59" s="11">
        <v>36</v>
      </c>
      <c r="P59" s="3">
        <f t="shared" si="0"/>
        <v>10730</v>
      </c>
      <c r="Q59" s="11"/>
    </row>
    <row r="60" spans="12:17" ht="15.75" x14ac:dyDescent="0.25">
      <c r="L60" s="1" t="s">
        <v>8</v>
      </c>
      <c r="M60" s="2" t="s">
        <v>9</v>
      </c>
      <c r="N60" s="3">
        <v>91.4</v>
      </c>
      <c r="O60" s="3">
        <v>17.3</v>
      </c>
      <c r="P60" s="3">
        <f t="shared" si="0"/>
        <v>4570</v>
      </c>
      <c r="Q60" s="11"/>
    </row>
    <row r="61" spans="12:17" ht="15.75" x14ac:dyDescent="0.25">
      <c r="L61" s="1" t="s">
        <v>242</v>
      </c>
      <c r="M61" s="2" t="s">
        <v>243</v>
      </c>
      <c r="N61" s="11">
        <v>176.6</v>
      </c>
      <c r="O61" s="11">
        <v>46.7</v>
      </c>
      <c r="P61" s="3">
        <f t="shared" si="0"/>
        <v>8830</v>
      </c>
      <c r="Q61" s="11"/>
    </row>
    <row r="62" spans="12:17" ht="15.75" x14ac:dyDescent="0.25">
      <c r="L62" s="1" t="s">
        <v>202</v>
      </c>
      <c r="M62" s="2" t="s">
        <v>203</v>
      </c>
      <c r="N62" s="11">
        <v>228.4</v>
      </c>
      <c r="O62" s="11">
        <v>47.1</v>
      </c>
      <c r="P62" s="3">
        <f t="shared" si="0"/>
        <v>11420.000000000002</v>
      </c>
      <c r="Q62" s="11"/>
    </row>
    <row r="63" spans="12:17" ht="15.75" x14ac:dyDescent="0.25">
      <c r="L63" s="1" t="s">
        <v>120</v>
      </c>
      <c r="M63" s="2" t="s">
        <v>121</v>
      </c>
      <c r="N63" s="11">
        <v>263.3</v>
      </c>
      <c r="O63" s="11">
        <v>30.7</v>
      </c>
      <c r="P63" s="3">
        <f t="shared" si="0"/>
        <v>13165.000000000002</v>
      </c>
      <c r="Q63" s="11"/>
    </row>
    <row r="64" spans="12:17" ht="15.75" x14ac:dyDescent="0.25">
      <c r="L64" s="1" t="s">
        <v>122</v>
      </c>
      <c r="M64" s="2" t="s">
        <v>123</v>
      </c>
      <c r="N64" s="11">
        <v>178.4</v>
      </c>
      <c r="O64" s="11">
        <v>43.5</v>
      </c>
      <c r="P64" s="3">
        <f t="shared" si="0"/>
        <v>8920</v>
      </c>
      <c r="Q64" s="11"/>
    </row>
    <row r="65" spans="12:17" ht="15.75" x14ac:dyDescent="0.25">
      <c r="L65" s="1" t="s">
        <v>44</v>
      </c>
      <c r="M65" s="2" t="s">
        <v>45</v>
      </c>
      <c r="N65" s="9">
        <v>206.1</v>
      </c>
      <c r="O65" s="9">
        <v>35.200000000000003</v>
      </c>
      <c r="P65" s="3">
        <f t="shared" si="0"/>
        <v>10305</v>
      </c>
      <c r="Q65" s="4"/>
    </row>
    <row r="66" spans="12:17" ht="15.75" x14ac:dyDescent="0.25">
      <c r="L66" s="1" t="s">
        <v>204</v>
      </c>
      <c r="M66" s="2" t="s">
        <v>205</v>
      </c>
      <c r="N66" s="11">
        <v>250.7</v>
      </c>
      <c r="O66" s="11">
        <v>39.5</v>
      </c>
      <c r="P66" s="3">
        <f t="shared" si="0"/>
        <v>12535</v>
      </c>
      <c r="Q66" s="11"/>
    </row>
    <row r="67" spans="12:17" ht="15.75" x14ac:dyDescent="0.25">
      <c r="L67" s="1" t="s">
        <v>206</v>
      </c>
      <c r="M67" s="2" t="s">
        <v>207</v>
      </c>
      <c r="N67" s="11">
        <v>220.6</v>
      </c>
      <c r="O67" s="11">
        <v>28.5</v>
      </c>
      <c r="P67" s="3">
        <f t="shared" ref="P67:P130" si="1">N67*0.05*1000</f>
        <v>11030.000000000002</v>
      </c>
      <c r="Q67" s="11"/>
    </row>
    <row r="68" spans="12:17" ht="15.75" x14ac:dyDescent="0.25">
      <c r="L68" s="1" t="s">
        <v>81</v>
      </c>
      <c r="M68" s="2" t="s">
        <v>82</v>
      </c>
      <c r="N68" s="11">
        <v>257</v>
      </c>
      <c r="O68" s="11">
        <v>42.4</v>
      </c>
      <c r="P68" s="3">
        <f t="shared" si="1"/>
        <v>12850.000000000002</v>
      </c>
      <c r="Q68" s="11"/>
    </row>
    <row r="69" spans="12:17" ht="15.75" x14ac:dyDescent="0.25">
      <c r="L69" s="15" t="s">
        <v>259</v>
      </c>
      <c r="M69" s="16" t="s">
        <v>260</v>
      </c>
      <c r="N69" s="11">
        <v>139.5</v>
      </c>
      <c r="O69" s="11">
        <v>37.200000000000003</v>
      </c>
      <c r="P69" s="3">
        <f t="shared" si="1"/>
        <v>6975.0000000000009</v>
      </c>
      <c r="Q69" s="11"/>
    </row>
    <row r="70" spans="12:17" ht="15.75" x14ac:dyDescent="0.25">
      <c r="L70" s="1" t="s">
        <v>208</v>
      </c>
      <c r="M70" s="2" t="s">
        <v>209</v>
      </c>
      <c r="N70" s="11">
        <v>187.8</v>
      </c>
      <c r="O70" s="11">
        <v>20.3</v>
      </c>
      <c r="P70" s="3">
        <f t="shared" si="1"/>
        <v>9390</v>
      </c>
      <c r="Q70" s="11"/>
    </row>
    <row r="71" spans="12:17" ht="15.75" x14ac:dyDescent="0.25">
      <c r="L71" s="1" t="s">
        <v>210</v>
      </c>
      <c r="M71" s="2" t="s">
        <v>211</v>
      </c>
      <c r="N71" s="11">
        <v>178.6</v>
      </c>
      <c r="O71" s="11">
        <v>27.3</v>
      </c>
      <c r="P71" s="3">
        <f t="shared" si="1"/>
        <v>8930</v>
      </c>
      <c r="Q71" s="11"/>
    </row>
    <row r="72" spans="12:17" ht="15.75" x14ac:dyDescent="0.25">
      <c r="L72" s="1" t="s">
        <v>212</v>
      </c>
      <c r="M72" s="2" t="s">
        <v>213</v>
      </c>
      <c r="N72" s="11">
        <v>157.9</v>
      </c>
      <c r="O72" s="11">
        <v>22.7</v>
      </c>
      <c r="P72" s="3">
        <f t="shared" si="1"/>
        <v>7895.0000000000009</v>
      </c>
      <c r="Q72" s="11"/>
    </row>
    <row r="73" spans="12:17" ht="15.75" x14ac:dyDescent="0.25">
      <c r="L73" s="1" t="s">
        <v>83</v>
      </c>
      <c r="M73" s="2" t="s">
        <v>84</v>
      </c>
      <c r="N73" s="11">
        <v>401</v>
      </c>
      <c r="O73" s="11">
        <v>69.599999999999994</v>
      </c>
      <c r="P73" s="3">
        <f t="shared" si="1"/>
        <v>20050</v>
      </c>
      <c r="Q73" s="11"/>
    </row>
    <row r="74" spans="12:17" ht="15.75" x14ac:dyDescent="0.25">
      <c r="L74" s="1" t="s">
        <v>46</v>
      </c>
      <c r="M74" s="2" t="s">
        <v>47</v>
      </c>
      <c r="N74" s="11">
        <v>150.9</v>
      </c>
      <c r="O74" s="11">
        <v>26.8</v>
      </c>
      <c r="P74" s="3">
        <f t="shared" si="1"/>
        <v>7545.0000000000009</v>
      </c>
      <c r="Q74" s="11"/>
    </row>
    <row r="75" spans="12:17" ht="15.75" x14ac:dyDescent="0.25">
      <c r="L75" s="1" t="s">
        <v>214</v>
      </c>
      <c r="M75" s="2" t="s">
        <v>215</v>
      </c>
      <c r="N75" s="11">
        <v>273.2</v>
      </c>
      <c r="O75" s="11">
        <v>27.5</v>
      </c>
      <c r="P75" s="3">
        <f t="shared" si="1"/>
        <v>13660</v>
      </c>
      <c r="Q75" s="11"/>
    </row>
    <row r="76" spans="12:17" ht="15.75" x14ac:dyDescent="0.25">
      <c r="L76" s="1" t="s">
        <v>85</v>
      </c>
      <c r="M76" s="2" t="s">
        <v>86</v>
      </c>
      <c r="N76" s="11">
        <v>761.1</v>
      </c>
      <c r="O76" s="11">
        <v>128.5</v>
      </c>
      <c r="P76" s="3">
        <f t="shared" si="1"/>
        <v>38055</v>
      </c>
      <c r="Q76" s="11"/>
    </row>
    <row r="77" spans="12:17" ht="15.75" x14ac:dyDescent="0.25">
      <c r="L77" s="1" t="s">
        <v>105</v>
      </c>
      <c r="M77" s="2" t="s">
        <v>106</v>
      </c>
      <c r="N77" s="11">
        <v>292.60000000000002</v>
      </c>
      <c r="O77" s="11">
        <v>41.3</v>
      </c>
      <c r="P77" s="3">
        <f t="shared" si="1"/>
        <v>14630.000000000002</v>
      </c>
      <c r="Q77" s="11"/>
    </row>
    <row r="78" spans="12:17" ht="15.75" x14ac:dyDescent="0.25">
      <c r="L78" s="1" t="s">
        <v>107</v>
      </c>
      <c r="M78" s="2" t="s">
        <v>108</v>
      </c>
      <c r="N78" s="11">
        <v>679.4</v>
      </c>
      <c r="O78" s="11">
        <v>134.30000000000001</v>
      </c>
      <c r="P78" s="3">
        <f t="shared" si="1"/>
        <v>33970</v>
      </c>
      <c r="Q78" s="11"/>
    </row>
    <row r="79" spans="12:17" ht="15.75" x14ac:dyDescent="0.25">
      <c r="L79" s="1" t="s">
        <v>216</v>
      </c>
      <c r="M79" s="2" t="s">
        <v>217</v>
      </c>
      <c r="N79" s="11">
        <v>258.5</v>
      </c>
      <c r="O79" s="11">
        <v>29.8</v>
      </c>
      <c r="P79" s="3">
        <f t="shared" si="1"/>
        <v>12925</v>
      </c>
      <c r="Q79" s="11"/>
    </row>
    <row r="80" spans="12:17" ht="15.75" x14ac:dyDescent="0.25">
      <c r="L80" s="15" t="s">
        <v>310</v>
      </c>
      <c r="M80" s="2" t="s">
        <v>109</v>
      </c>
      <c r="N80" s="11">
        <v>695.2</v>
      </c>
      <c r="O80" s="11">
        <v>162.6</v>
      </c>
      <c r="P80" s="3">
        <f t="shared" si="1"/>
        <v>34760.000000000007</v>
      </c>
      <c r="Q80" s="11"/>
    </row>
    <row r="81" spans="12:17" ht="15.75" x14ac:dyDescent="0.25">
      <c r="L81" s="1" t="s">
        <v>48</v>
      </c>
      <c r="M81" s="2" t="s">
        <v>49</v>
      </c>
      <c r="N81" s="11">
        <v>435.5</v>
      </c>
      <c r="O81" s="11">
        <v>74.7</v>
      </c>
      <c r="P81" s="3">
        <f t="shared" si="1"/>
        <v>21775.000000000004</v>
      </c>
      <c r="Q81" s="11"/>
    </row>
    <row r="82" spans="12:17" ht="15.75" x14ac:dyDescent="0.25">
      <c r="L82" s="1" t="s">
        <v>156</v>
      </c>
      <c r="M82" s="2" t="s">
        <v>157</v>
      </c>
      <c r="N82" s="11">
        <v>188.8</v>
      </c>
      <c r="O82" s="11">
        <v>27.3</v>
      </c>
      <c r="P82" s="3">
        <f t="shared" si="1"/>
        <v>9440.0000000000018</v>
      </c>
      <c r="Q82" s="11"/>
    </row>
    <row r="83" spans="12:17" ht="15.75" x14ac:dyDescent="0.25">
      <c r="L83" s="1" t="s">
        <v>50</v>
      </c>
      <c r="M83" s="2" t="s">
        <v>51</v>
      </c>
      <c r="N83" s="11">
        <v>458.1</v>
      </c>
      <c r="O83" s="11">
        <v>59.8</v>
      </c>
      <c r="P83" s="3">
        <f t="shared" si="1"/>
        <v>22905</v>
      </c>
      <c r="Q83" s="11"/>
    </row>
    <row r="84" spans="12:17" ht="15.75" x14ac:dyDescent="0.25">
      <c r="L84" s="1" t="s">
        <v>244</v>
      </c>
      <c r="M84" s="2" t="s">
        <v>245</v>
      </c>
      <c r="N84" s="11">
        <v>252.2</v>
      </c>
      <c r="O84" s="11">
        <v>41.1</v>
      </c>
      <c r="P84" s="3">
        <f t="shared" si="1"/>
        <v>12610</v>
      </c>
      <c r="Q84" s="11"/>
    </row>
    <row r="85" spans="12:17" ht="15.75" x14ac:dyDescent="0.25">
      <c r="L85" s="1" t="s">
        <v>158</v>
      </c>
      <c r="M85" s="2" t="s">
        <v>159</v>
      </c>
      <c r="N85" s="11">
        <v>365.2</v>
      </c>
      <c r="O85" s="11">
        <v>69.3</v>
      </c>
      <c r="P85" s="3">
        <f t="shared" si="1"/>
        <v>18260</v>
      </c>
      <c r="Q85" s="11"/>
    </row>
    <row r="86" spans="12:17" ht="15.75" x14ac:dyDescent="0.25">
      <c r="L86" s="1" t="s">
        <v>10</v>
      </c>
      <c r="M86" s="2" t="s">
        <v>11</v>
      </c>
      <c r="N86" s="4">
        <v>138.69999999999999</v>
      </c>
      <c r="O86" s="4">
        <v>24.3</v>
      </c>
      <c r="P86" s="3">
        <f t="shared" si="1"/>
        <v>6935</v>
      </c>
      <c r="Q86" s="11"/>
    </row>
    <row r="87" spans="12:17" ht="15.75" x14ac:dyDescent="0.25">
      <c r="L87" s="15" t="s">
        <v>261</v>
      </c>
      <c r="M87" s="16" t="s">
        <v>262</v>
      </c>
      <c r="N87" s="11">
        <v>234</v>
      </c>
      <c r="O87" s="11">
        <v>31</v>
      </c>
      <c r="P87" s="3">
        <f t="shared" si="1"/>
        <v>11700.000000000002</v>
      </c>
      <c r="Q87" s="11"/>
    </row>
    <row r="88" spans="12:17" ht="15.75" x14ac:dyDescent="0.25">
      <c r="L88" s="1" t="s">
        <v>12</v>
      </c>
      <c r="M88" s="2" t="s">
        <v>13</v>
      </c>
      <c r="N88" s="3">
        <v>271.60000000000002</v>
      </c>
      <c r="O88" s="3">
        <v>47.5</v>
      </c>
      <c r="P88" s="3">
        <f t="shared" si="1"/>
        <v>13580.000000000002</v>
      </c>
      <c r="Q88" s="3"/>
    </row>
    <row r="89" spans="12:17" ht="15.75" x14ac:dyDescent="0.25">
      <c r="L89" s="1" t="s">
        <v>218</v>
      </c>
      <c r="M89" s="2" t="s">
        <v>219</v>
      </c>
      <c r="N89" s="11">
        <v>249.6</v>
      </c>
      <c r="O89" s="11">
        <v>23.8</v>
      </c>
      <c r="P89" s="3">
        <f t="shared" si="1"/>
        <v>12480</v>
      </c>
      <c r="Q89" s="3"/>
    </row>
    <row r="90" spans="12:17" ht="15.75" x14ac:dyDescent="0.25">
      <c r="L90" s="1" t="s">
        <v>160</v>
      </c>
      <c r="M90" s="2" t="s">
        <v>161</v>
      </c>
      <c r="N90" s="11">
        <v>746.7</v>
      </c>
      <c r="O90" s="11">
        <v>180.6</v>
      </c>
      <c r="P90" s="3">
        <f t="shared" si="1"/>
        <v>37335</v>
      </c>
      <c r="Q90" s="11"/>
    </row>
    <row r="91" spans="12:17" ht="15.75" x14ac:dyDescent="0.25">
      <c r="L91" s="1" t="s">
        <v>162</v>
      </c>
      <c r="M91" s="2" t="s">
        <v>163</v>
      </c>
      <c r="N91" s="11">
        <v>321.60000000000002</v>
      </c>
      <c r="O91" s="11">
        <v>74.599999999999994</v>
      </c>
      <c r="P91" s="3">
        <f t="shared" si="1"/>
        <v>16080.000000000002</v>
      </c>
      <c r="Q91" s="3"/>
    </row>
    <row r="92" spans="12:17" ht="15.75" x14ac:dyDescent="0.25">
      <c r="L92" s="1" t="s">
        <v>87</v>
      </c>
      <c r="M92" s="2" t="s">
        <v>88</v>
      </c>
      <c r="N92" s="11">
        <v>159.80000000000001</v>
      </c>
      <c r="O92" s="11">
        <v>32.200000000000003</v>
      </c>
      <c r="P92" s="3">
        <f t="shared" si="1"/>
        <v>7990.0000000000009</v>
      </c>
      <c r="Q92" s="9"/>
    </row>
    <row r="93" spans="12:17" ht="15.75" x14ac:dyDescent="0.25">
      <c r="L93" s="1" t="s">
        <v>52</v>
      </c>
      <c r="M93" s="2" t="s">
        <v>53</v>
      </c>
      <c r="N93" s="11">
        <v>330.8</v>
      </c>
      <c r="O93" s="11">
        <v>78.5</v>
      </c>
      <c r="P93" s="3">
        <f t="shared" si="1"/>
        <v>16540.000000000004</v>
      </c>
      <c r="Q93" s="11"/>
    </row>
    <row r="94" spans="12:17" ht="15.75" x14ac:dyDescent="0.25">
      <c r="L94" s="1" t="s">
        <v>89</v>
      </c>
      <c r="M94" s="2" t="s">
        <v>90</v>
      </c>
      <c r="N94" s="11">
        <v>155.5</v>
      </c>
      <c r="O94" s="11">
        <v>32.5</v>
      </c>
      <c r="P94" s="3">
        <f t="shared" si="1"/>
        <v>7775</v>
      </c>
      <c r="Q94" s="11"/>
    </row>
    <row r="95" spans="12:17" ht="15.75" x14ac:dyDescent="0.25">
      <c r="L95" s="1" t="s">
        <v>283</v>
      </c>
      <c r="M95" s="2" t="s">
        <v>284</v>
      </c>
      <c r="N95" s="11">
        <v>204.7</v>
      </c>
      <c r="O95" s="11">
        <v>46.9</v>
      </c>
      <c r="P95" s="3">
        <f t="shared" si="1"/>
        <v>10235</v>
      </c>
      <c r="Q95" s="11"/>
    </row>
    <row r="96" spans="12:17" ht="15.75" x14ac:dyDescent="0.25">
      <c r="L96" s="1" t="s">
        <v>124</v>
      </c>
      <c r="M96" s="2" t="s">
        <v>125</v>
      </c>
      <c r="N96" s="11">
        <v>211.8</v>
      </c>
      <c r="O96" s="11">
        <v>45.2</v>
      </c>
      <c r="P96" s="3">
        <f t="shared" si="1"/>
        <v>10590.000000000002</v>
      </c>
      <c r="Q96" s="3"/>
    </row>
    <row r="97" spans="12:17" ht="15.75" x14ac:dyDescent="0.25">
      <c r="L97" s="1" t="s">
        <v>16</v>
      </c>
      <c r="M97" s="2" t="s">
        <v>17</v>
      </c>
      <c r="N97" s="4">
        <v>196</v>
      </c>
      <c r="O97" s="4">
        <v>40</v>
      </c>
      <c r="P97" s="3">
        <f t="shared" si="1"/>
        <v>9800</v>
      </c>
      <c r="Q97" s="11"/>
    </row>
    <row r="98" spans="12:17" ht="15.75" x14ac:dyDescent="0.25">
      <c r="L98" s="1" t="s">
        <v>91</v>
      </c>
      <c r="M98" s="2" t="s">
        <v>92</v>
      </c>
      <c r="N98" s="11">
        <v>788.8</v>
      </c>
      <c r="O98" s="11">
        <v>171.3</v>
      </c>
      <c r="P98" s="3">
        <f t="shared" si="1"/>
        <v>39440</v>
      </c>
      <c r="Q98" s="3"/>
    </row>
    <row r="99" spans="12:17" ht="15.75" x14ac:dyDescent="0.25">
      <c r="L99" s="1" t="s">
        <v>110</v>
      </c>
      <c r="M99" s="2" t="s">
        <v>111</v>
      </c>
      <c r="N99" s="11">
        <v>678.3</v>
      </c>
      <c r="O99" s="11">
        <v>117.6</v>
      </c>
      <c r="P99" s="3">
        <f t="shared" si="1"/>
        <v>33915</v>
      </c>
      <c r="Q99" s="9"/>
    </row>
    <row r="100" spans="12:17" ht="15.75" x14ac:dyDescent="0.25">
      <c r="L100" s="1" t="s">
        <v>18</v>
      </c>
      <c r="M100" s="2" t="s">
        <v>19</v>
      </c>
      <c r="N100" s="3">
        <v>310.60000000000002</v>
      </c>
      <c r="O100" s="3">
        <v>69.5</v>
      </c>
      <c r="P100" s="3">
        <f t="shared" si="1"/>
        <v>15530.000000000002</v>
      </c>
      <c r="Q100" s="11"/>
    </row>
    <row r="101" spans="12:17" ht="15.75" x14ac:dyDescent="0.25">
      <c r="L101" s="1" t="s">
        <v>112</v>
      </c>
      <c r="M101" s="2" t="s">
        <v>113</v>
      </c>
      <c r="N101" s="11">
        <v>288.7</v>
      </c>
      <c r="O101" s="11">
        <v>40.799999999999997</v>
      </c>
      <c r="P101" s="3">
        <f t="shared" si="1"/>
        <v>14435</v>
      </c>
      <c r="Q101" s="11"/>
    </row>
    <row r="102" spans="12:17" ht="15.75" x14ac:dyDescent="0.25">
      <c r="L102" s="1" t="s">
        <v>114</v>
      </c>
      <c r="M102" s="2" t="s">
        <v>115</v>
      </c>
      <c r="N102" s="11">
        <v>660.2</v>
      </c>
      <c r="O102" s="11">
        <v>134</v>
      </c>
      <c r="P102" s="3">
        <f t="shared" si="1"/>
        <v>33010.000000000007</v>
      </c>
      <c r="Q102" s="11"/>
    </row>
    <row r="103" spans="12:17" ht="15.75" x14ac:dyDescent="0.25">
      <c r="L103" s="1" t="s">
        <v>54</v>
      </c>
      <c r="M103" s="2" t="s">
        <v>55</v>
      </c>
      <c r="N103" s="11">
        <v>219.5</v>
      </c>
      <c r="O103" s="11">
        <v>38</v>
      </c>
      <c r="P103" s="3">
        <f t="shared" si="1"/>
        <v>10975.000000000002</v>
      </c>
      <c r="Q103" s="11"/>
    </row>
    <row r="104" spans="12:17" ht="15.75" x14ac:dyDescent="0.25">
      <c r="L104" s="15" t="s">
        <v>263</v>
      </c>
      <c r="M104" s="16" t="s">
        <v>264</v>
      </c>
      <c r="N104" s="11">
        <v>611.6</v>
      </c>
      <c r="O104" s="11">
        <v>107.3</v>
      </c>
      <c r="P104" s="3">
        <f t="shared" si="1"/>
        <v>30580.000000000004</v>
      </c>
      <c r="Q104" s="11"/>
    </row>
    <row r="105" spans="12:17" ht="15.75" x14ac:dyDescent="0.25">
      <c r="L105" s="1" t="s">
        <v>164</v>
      </c>
      <c r="M105" s="2" t="s">
        <v>165</v>
      </c>
      <c r="N105" s="11">
        <v>163.30000000000001</v>
      </c>
      <c r="O105" s="11">
        <v>27.2</v>
      </c>
      <c r="P105" s="3">
        <f t="shared" si="1"/>
        <v>8165.0000000000009</v>
      </c>
      <c r="Q105" s="11"/>
    </row>
    <row r="106" spans="12:17" ht="15.75" x14ac:dyDescent="0.25">
      <c r="L106" s="1" t="s">
        <v>285</v>
      </c>
      <c r="M106" s="2" t="s">
        <v>286</v>
      </c>
      <c r="N106" s="11">
        <v>250.7</v>
      </c>
      <c r="O106" s="11">
        <v>46.7</v>
      </c>
      <c r="P106" s="3">
        <f t="shared" si="1"/>
        <v>12535</v>
      </c>
      <c r="Q106" s="11"/>
    </row>
    <row r="107" spans="12:17" ht="15.75" x14ac:dyDescent="0.25">
      <c r="L107" s="15" t="s">
        <v>265</v>
      </c>
      <c r="M107" s="16" t="s">
        <v>266</v>
      </c>
      <c r="N107" s="11">
        <v>197.7</v>
      </c>
      <c r="O107" s="11">
        <v>31.8</v>
      </c>
      <c r="P107" s="3">
        <f t="shared" si="1"/>
        <v>9885</v>
      </c>
      <c r="Q107" s="11"/>
    </row>
    <row r="108" spans="12:17" ht="15.75" x14ac:dyDescent="0.25">
      <c r="L108" s="1" t="s">
        <v>220</v>
      </c>
      <c r="M108" s="2" t="s">
        <v>221</v>
      </c>
      <c r="N108" s="11">
        <v>254.4</v>
      </c>
      <c r="O108" s="11">
        <v>38.200000000000003</v>
      </c>
      <c r="P108" s="3">
        <f t="shared" si="1"/>
        <v>12720</v>
      </c>
      <c r="Q108" s="11"/>
    </row>
    <row r="109" spans="12:17" ht="15.75" x14ac:dyDescent="0.25">
      <c r="L109" s="1" t="s">
        <v>20</v>
      </c>
      <c r="M109" s="2" t="s">
        <v>21</v>
      </c>
      <c r="N109" s="3">
        <v>139.4</v>
      </c>
      <c r="O109" s="3">
        <v>29.8</v>
      </c>
      <c r="P109" s="3">
        <f t="shared" si="1"/>
        <v>6970.0000000000009</v>
      </c>
      <c r="Q109" s="11"/>
    </row>
    <row r="110" spans="12:17" ht="15.75" x14ac:dyDescent="0.25">
      <c r="L110" s="1" t="s">
        <v>222</v>
      </c>
      <c r="M110" s="2" t="s">
        <v>223</v>
      </c>
      <c r="N110" s="11">
        <v>180</v>
      </c>
      <c r="O110" s="11">
        <v>27.5</v>
      </c>
      <c r="P110" s="3">
        <f t="shared" si="1"/>
        <v>9000</v>
      </c>
      <c r="Q110" s="11"/>
    </row>
    <row r="111" spans="12:17" ht="15.75" x14ac:dyDescent="0.25">
      <c r="L111" s="1" t="s">
        <v>93</v>
      </c>
      <c r="M111" s="2" t="s">
        <v>94</v>
      </c>
      <c r="N111" s="11">
        <v>253.4</v>
      </c>
      <c r="O111" s="11">
        <v>49</v>
      </c>
      <c r="P111" s="3">
        <f t="shared" si="1"/>
        <v>12670.000000000002</v>
      </c>
      <c r="Q111" s="11"/>
    </row>
    <row r="112" spans="12:17" ht="15.75" x14ac:dyDescent="0.25">
      <c r="L112" s="1" t="s">
        <v>56</v>
      </c>
      <c r="M112" s="2" t="s">
        <v>57</v>
      </c>
      <c r="N112" s="11">
        <v>219.2</v>
      </c>
      <c r="O112" s="11">
        <v>39.1</v>
      </c>
      <c r="P112" s="3">
        <f t="shared" si="1"/>
        <v>10960</v>
      </c>
      <c r="Q112" s="11"/>
    </row>
    <row r="113" spans="12:17" ht="15.75" x14ac:dyDescent="0.25">
      <c r="L113" s="1" t="s">
        <v>126</v>
      </c>
      <c r="M113" s="2" t="s">
        <v>127</v>
      </c>
      <c r="N113" s="11">
        <v>287.5</v>
      </c>
      <c r="O113" s="11">
        <v>53</v>
      </c>
      <c r="P113" s="3">
        <f t="shared" si="1"/>
        <v>14375</v>
      </c>
      <c r="Q113" s="11"/>
    </row>
    <row r="114" spans="12:17" ht="15.75" x14ac:dyDescent="0.25">
      <c r="L114" s="1" t="s">
        <v>58</v>
      </c>
      <c r="M114" s="2" t="s">
        <v>59</v>
      </c>
      <c r="N114" s="11">
        <v>276.2</v>
      </c>
      <c r="O114" s="11">
        <v>64</v>
      </c>
      <c r="P114" s="3">
        <f t="shared" si="1"/>
        <v>13810</v>
      </c>
      <c r="Q114" s="11"/>
    </row>
    <row r="115" spans="12:17" ht="15.75" x14ac:dyDescent="0.25">
      <c r="L115" s="1" t="s">
        <v>95</v>
      </c>
      <c r="M115" s="2" t="s">
        <v>96</v>
      </c>
      <c r="N115" s="11">
        <v>530.29999999999995</v>
      </c>
      <c r="O115" s="11">
        <v>97.7</v>
      </c>
      <c r="P115" s="3">
        <f t="shared" si="1"/>
        <v>26515</v>
      </c>
      <c r="Q115" s="11"/>
    </row>
    <row r="116" spans="12:17" ht="15.75" x14ac:dyDescent="0.25">
      <c r="L116" s="1" t="s">
        <v>128</v>
      </c>
      <c r="M116" s="2" t="s">
        <v>129</v>
      </c>
      <c r="N116" s="11">
        <v>290.89999999999998</v>
      </c>
      <c r="O116" s="11">
        <v>68.099999999999994</v>
      </c>
      <c r="P116" s="3">
        <f t="shared" si="1"/>
        <v>14545</v>
      </c>
      <c r="Q116" s="11"/>
    </row>
    <row r="117" spans="12:17" ht="18.75" x14ac:dyDescent="0.25">
      <c r="L117" s="1" t="s">
        <v>130</v>
      </c>
      <c r="M117" s="2" t="s">
        <v>131</v>
      </c>
      <c r="N117" s="11">
        <v>203.6</v>
      </c>
      <c r="O117" s="11">
        <v>42.5</v>
      </c>
      <c r="P117" s="3">
        <f t="shared" si="1"/>
        <v>10180</v>
      </c>
      <c r="Q117" s="11"/>
    </row>
    <row r="118" spans="12:17" ht="15.75" x14ac:dyDescent="0.25">
      <c r="L118" s="1" t="s">
        <v>287</v>
      </c>
      <c r="M118" s="2" t="s">
        <v>288</v>
      </c>
      <c r="N118" s="11">
        <v>522.79999999999995</v>
      </c>
      <c r="O118" s="11">
        <v>123.4</v>
      </c>
      <c r="P118" s="3">
        <f t="shared" si="1"/>
        <v>26140</v>
      </c>
      <c r="Q118" s="11"/>
    </row>
    <row r="119" spans="12:17" ht="15.75" x14ac:dyDescent="0.25">
      <c r="L119" s="1" t="s">
        <v>132</v>
      </c>
      <c r="M119" s="2" t="s">
        <v>133</v>
      </c>
      <c r="N119" s="11">
        <v>340.2</v>
      </c>
      <c r="O119" s="11">
        <v>58.5</v>
      </c>
      <c r="P119" s="3">
        <f t="shared" si="1"/>
        <v>17010</v>
      </c>
      <c r="Q119" s="11"/>
    </row>
    <row r="120" spans="12:17" ht="15.75" x14ac:dyDescent="0.25">
      <c r="L120" s="1" t="s">
        <v>166</v>
      </c>
      <c r="M120" s="2" t="s">
        <v>167</v>
      </c>
      <c r="N120" s="11">
        <v>333.3</v>
      </c>
      <c r="O120" s="11">
        <v>73.8</v>
      </c>
      <c r="P120" s="3">
        <f t="shared" si="1"/>
        <v>16665.000000000004</v>
      </c>
      <c r="Q120" s="11"/>
    </row>
    <row r="121" spans="12:17" ht="15.75" x14ac:dyDescent="0.25">
      <c r="L121" s="1" t="s">
        <v>289</v>
      </c>
      <c r="M121" s="2" t="s">
        <v>290</v>
      </c>
      <c r="N121" s="11">
        <v>256.5</v>
      </c>
      <c r="O121" s="11">
        <v>47.8</v>
      </c>
      <c r="P121" s="3">
        <f t="shared" si="1"/>
        <v>12825.000000000002</v>
      </c>
      <c r="Q121" s="11"/>
    </row>
    <row r="122" spans="12:17" ht="15.75" x14ac:dyDescent="0.25">
      <c r="L122" s="1" t="s">
        <v>134</v>
      </c>
      <c r="M122" s="2" t="s">
        <v>135</v>
      </c>
      <c r="N122" s="11">
        <v>606.1</v>
      </c>
      <c r="O122" s="11">
        <v>122.3</v>
      </c>
      <c r="P122" s="3">
        <f t="shared" si="1"/>
        <v>30305.000000000004</v>
      </c>
      <c r="Q122" s="11"/>
    </row>
    <row r="123" spans="12:17" ht="15.75" x14ac:dyDescent="0.25">
      <c r="L123" s="1" t="s">
        <v>22</v>
      </c>
      <c r="M123" s="2" t="s">
        <v>23</v>
      </c>
      <c r="N123" s="4">
        <v>151</v>
      </c>
      <c r="O123" s="4">
        <v>31.3</v>
      </c>
      <c r="P123" s="3">
        <f t="shared" si="1"/>
        <v>7550.0000000000009</v>
      </c>
      <c r="Q123" s="11"/>
    </row>
    <row r="124" spans="12:17" ht="15.75" x14ac:dyDescent="0.25">
      <c r="L124" s="1" t="s">
        <v>168</v>
      </c>
      <c r="M124" s="2" t="s">
        <v>169</v>
      </c>
      <c r="N124" s="11">
        <v>391.4</v>
      </c>
      <c r="O124" s="11">
        <v>69.8</v>
      </c>
      <c r="P124" s="3">
        <f t="shared" si="1"/>
        <v>19570</v>
      </c>
      <c r="Q124" s="11"/>
    </row>
    <row r="125" spans="12:17" ht="15.75" x14ac:dyDescent="0.25">
      <c r="L125" s="15" t="s">
        <v>267</v>
      </c>
      <c r="M125" s="16" t="s">
        <v>268</v>
      </c>
      <c r="N125" s="11">
        <v>231.2</v>
      </c>
      <c r="O125" s="11">
        <v>35.700000000000003</v>
      </c>
      <c r="P125" s="3">
        <f t="shared" si="1"/>
        <v>11560</v>
      </c>
      <c r="Q125" s="11"/>
    </row>
    <row r="126" spans="12:17" ht="15.75" x14ac:dyDescent="0.25">
      <c r="L126" s="1" t="s">
        <v>224</v>
      </c>
      <c r="M126" s="2" t="s">
        <v>225</v>
      </c>
      <c r="N126" s="11">
        <v>274.39999999999998</v>
      </c>
      <c r="O126" s="11">
        <v>29.5</v>
      </c>
      <c r="P126" s="3">
        <f t="shared" si="1"/>
        <v>13719.999999999998</v>
      </c>
      <c r="Q126" s="11"/>
    </row>
    <row r="127" spans="12:17" ht="15.75" x14ac:dyDescent="0.25">
      <c r="L127" s="1" t="s">
        <v>60</v>
      </c>
      <c r="M127" s="2" t="s">
        <v>61</v>
      </c>
      <c r="N127" s="11">
        <v>280.89999999999998</v>
      </c>
      <c r="O127" s="11">
        <v>57</v>
      </c>
      <c r="P127" s="3">
        <f t="shared" si="1"/>
        <v>14045</v>
      </c>
      <c r="Q127" s="11"/>
    </row>
    <row r="128" spans="12:17" ht="15.75" x14ac:dyDescent="0.25">
      <c r="L128" s="1" t="s">
        <v>14</v>
      </c>
      <c r="M128" s="5" t="s">
        <v>15</v>
      </c>
      <c r="N128" s="3">
        <v>190.2</v>
      </c>
      <c r="O128" s="3">
        <v>33.700000000000003</v>
      </c>
      <c r="P128" s="3">
        <f t="shared" si="1"/>
        <v>9510</v>
      </c>
      <c r="Q128" s="11"/>
    </row>
    <row r="129" spans="12:17" ht="15.75" x14ac:dyDescent="0.25">
      <c r="L129" s="1" t="s">
        <v>136</v>
      </c>
      <c r="M129" s="2" t="s">
        <v>137</v>
      </c>
      <c r="N129" s="11">
        <v>246.9</v>
      </c>
      <c r="O129" s="11">
        <v>47.3</v>
      </c>
      <c r="P129" s="3">
        <f t="shared" si="1"/>
        <v>12345</v>
      </c>
      <c r="Q129" s="11"/>
    </row>
    <row r="130" spans="12:17" ht="15.75" x14ac:dyDescent="0.25">
      <c r="L130" s="1" t="s">
        <v>170</v>
      </c>
      <c r="M130" s="2" t="s">
        <v>171</v>
      </c>
      <c r="N130" s="11">
        <v>592.1</v>
      </c>
      <c r="O130" s="11">
        <v>127.4</v>
      </c>
      <c r="P130" s="3">
        <f t="shared" si="1"/>
        <v>29605.000000000004</v>
      </c>
      <c r="Q130" s="11"/>
    </row>
    <row r="131" spans="12:17" ht="15.75" x14ac:dyDescent="0.25">
      <c r="L131" s="1" t="s">
        <v>24</v>
      </c>
      <c r="M131" s="2" t="s">
        <v>25</v>
      </c>
      <c r="N131" s="3">
        <v>280.3</v>
      </c>
      <c r="O131" s="3">
        <v>53.8</v>
      </c>
      <c r="P131" s="3">
        <f t="shared" ref="P131:P155" si="2">N131*0.05*1000</f>
        <v>14015</v>
      </c>
      <c r="Q131" s="11"/>
    </row>
    <row r="132" spans="12:17" ht="15.75" x14ac:dyDescent="0.25">
      <c r="L132" s="1" t="s">
        <v>246</v>
      </c>
      <c r="M132" s="2" t="s">
        <v>247</v>
      </c>
      <c r="N132" s="11">
        <v>1086.2</v>
      </c>
      <c r="O132" s="11">
        <v>210.1</v>
      </c>
      <c r="P132" s="3">
        <f t="shared" si="2"/>
        <v>54310</v>
      </c>
      <c r="Q132" s="11"/>
    </row>
    <row r="133" spans="12:17" ht="15.75" x14ac:dyDescent="0.25">
      <c r="L133" s="1" t="s">
        <v>226</v>
      </c>
      <c r="M133" s="2" t="s">
        <v>227</v>
      </c>
      <c r="N133" s="11">
        <v>385.2</v>
      </c>
      <c r="O133" s="11">
        <v>58.1</v>
      </c>
      <c r="P133" s="3">
        <f t="shared" si="2"/>
        <v>19260</v>
      </c>
      <c r="Q133" s="11"/>
    </row>
    <row r="134" spans="12:17" ht="15.75" x14ac:dyDescent="0.25">
      <c r="L134" s="15" t="s">
        <v>308</v>
      </c>
      <c r="M134" s="2" t="s">
        <v>291</v>
      </c>
      <c r="N134" s="11">
        <v>194.2</v>
      </c>
      <c r="O134" s="11">
        <v>32.200000000000003</v>
      </c>
      <c r="P134" s="3">
        <f t="shared" si="2"/>
        <v>9710</v>
      </c>
      <c r="Q134" s="11"/>
    </row>
    <row r="135" spans="12:17" ht="15.75" x14ac:dyDescent="0.25">
      <c r="L135" s="8" t="s">
        <v>309</v>
      </c>
      <c r="M135" s="12" t="s">
        <v>62</v>
      </c>
      <c r="N135" s="4">
        <v>248.4</v>
      </c>
      <c r="O135" s="4">
        <v>44.4</v>
      </c>
      <c r="P135" s="3">
        <f t="shared" si="2"/>
        <v>12420.000000000002</v>
      </c>
      <c r="Q135" s="11"/>
    </row>
    <row r="136" spans="12:17" ht="15.75" x14ac:dyDescent="0.25">
      <c r="L136" s="1" t="s">
        <v>138</v>
      </c>
      <c r="M136" s="2" t="s">
        <v>139</v>
      </c>
      <c r="N136" s="11">
        <v>161.69999999999999</v>
      </c>
      <c r="O136" s="11">
        <v>27.1</v>
      </c>
      <c r="P136" s="3">
        <f t="shared" si="2"/>
        <v>8084.9999999999991</v>
      </c>
      <c r="Q136" s="11"/>
    </row>
    <row r="137" spans="12:17" ht="15.75" x14ac:dyDescent="0.25">
      <c r="L137" s="1" t="s">
        <v>292</v>
      </c>
      <c r="M137" s="2" t="s">
        <v>293</v>
      </c>
      <c r="N137" s="11">
        <v>134.19999999999999</v>
      </c>
      <c r="O137" s="11">
        <v>35.5</v>
      </c>
      <c r="P137" s="3">
        <f t="shared" si="2"/>
        <v>6710</v>
      </c>
      <c r="Q137" s="11"/>
    </row>
    <row r="138" spans="12:17" ht="15.75" x14ac:dyDescent="0.25">
      <c r="L138" s="1" t="s">
        <v>228</v>
      </c>
      <c r="M138" s="2" t="s">
        <v>229</v>
      </c>
      <c r="N138" s="11">
        <v>215.3</v>
      </c>
      <c r="O138" s="11">
        <v>19.5</v>
      </c>
      <c r="P138" s="3">
        <f t="shared" si="2"/>
        <v>10765</v>
      </c>
      <c r="Q138" s="11"/>
    </row>
    <row r="139" spans="12:17" ht="15.75" x14ac:dyDescent="0.25">
      <c r="L139" s="1" t="s">
        <v>63</v>
      </c>
      <c r="M139" s="2" t="s">
        <v>64</v>
      </c>
      <c r="N139" s="11">
        <v>212.8</v>
      </c>
      <c r="O139" s="11">
        <v>39.9</v>
      </c>
      <c r="P139" s="3">
        <f t="shared" si="2"/>
        <v>10640</v>
      </c>
      <c r="Q139" s="11"/>
    </row>
    <row r="140" spans="12:17" ht="15.75" x14ac:dyDescent="0.25">
      <c r="L140" s="1" t="s">
        <v>97</v>
      </c>
      <c r="M140" s="2" t="s">
        <v>98</v>
      </c>
      <c r="N140" s="11">
        <v>321.60000000000002</v>
      </c>
      <c r="O140" s="11">
        <v>61</v>
      </c>
      <c r="P140" s="3">
        <f t="shared" si="2"/>
        <v>16080.000000000002</v>
      </c>
      <c r="Q140" s="11"/>
    </row>
    <row r="141" spans="12:17" ht="15.75" x14ac:dyDescent="0.25">
      <c r="L141" s="1" t="s">
        <v>140</v>
      </c>
      <c r="M141" s="2" t="s">
        <v>141</v>
      </c>
      <c r="N141" s="11">
        <v>254.5</v>
      </c>
      <c r="O141" s="11">
        <v>50.9</v>
      </c>
      <c r="P141" s="3">
        <f t="shared" si="2"/>
        <v>12725.000000000002</v>
      </c>
      <c r="Q141" s="11"/>
    </row>
    <row r="142" spans="12:17" ht="15.75" x14ac:dyDescent="0.25">
      <c r="L142" s="1" t="s">
        <v>230</v>
      </c>
      <c r="M142" s="2" t="s">
        <v>231</v>
      </c>
      <c r="N142" s="11">
        <v>222.3</v>
      </c>
      <c r="O142" s="11">
        <v>28.5</v>
      </c>
      <c r="P142" s="3">
        <f t="shared" si="2"/>
        <v>11115.000000000002</v>
      </c>
      <c r="Q142" s="11"/>
    </row>
    <row r="143" spans="12:17" ht="15.75" x14ac:dyDescent="0.25">
      <c r="L143" s="1" t="s">
        <v>232</v>
      </c>
      <c r="M143" s="2" t="s">
        <v>233</v>
      </c>
      <c r="N143" s="11">
        <v>281.8</v>
      </c>
      <c r="O143" s="11">
        <v>31.4</v>
      </c>
      <c r="P143" s="3">
        <f t="shared" si="2"/>
        <v>14090.000000000002</v>
      </c>
      <c r="Q143" s="11"/>
    </row>
    <row r="144" spans="12:17" ht="15.75" x14ac:dyDescent="0.25">
      <c r="L144" s="1" t="s">
        <v>65</v>
      </c>
      <c r="M144" s="2" t="s">
        <v>66</v>
      </c>
      <c r="N144" s="11">
        <v>195.2</v>
      </c>
      <c r="O144" s="11">
        <v>35.6</v>
      </c>
      <c r="P144" s="3">
        <f t="shared" si="2"/>
        <v>9760</v>
      </c>
      <c r="Q144" s="11"/>
    </row>
    <row r="145" spans="12:17" ht="15.75" x14ac:dyDescent="0.25">
      <c r="L145" s="1" t="s">
        <v>142</v>
      </c>
      <c r="M145" s="2" t="s">
        <v>143</v>
      </c>
      <c r="N145" s="11">
        <v>526.70000000000005</v>
      </c>
      <c r="O145" s="11">
        <v>107.1</v>
      </c>
      <c r="P145" s="3">
        <f t="shared" si="2"/>
        <v>26335.000000000004</v>
      </c>
      <c r="Q145" s="11"/>
    </row>
    <row r="146" spans="12:17" ht="15.75" x14ac:dyDescent="0.25">
      <c r="L146" s="1" t="s">
        <v>172</v>
      </c>
      <c r="M146" s="2" t="s">
        <v>173</v>
      </c>
      <c r="N146" s="11">
        <v>276.8</v>
      </c>
      <c r="O146" s="11">
        <v>53.1</v>
      </c>
      <c r="P146" s="3">
        <f t="shared" si="2"/>
        <v>13840.000000000002</v>
      </c>
      <c r="Q146" s="11"/>
    </row>
    <row r="147" spans="12:17" ht="15.75" x14ac:dyDescent="0.25">
      <c r="L147" s="1" t="s">
        <v>174</v>
      </c>
      <c r="M147" s="2" t="s">
        <v>175</v>
      </c>
      <c r="N147" s="11">
        <v>534</v>
      </c>
      <c r="O147" s="11">
        <v>95.5</v>
      </c>
      <c r="P147" s="3">
        <f t="shared" si="2"/>
        <v>26700.000000000004</v>
      </c>
      <c r="Q147" s="11"/>
    </row>
    <row r="148" spans="12:17" ht="15.75" x14ac:dyDescent="0.25">
      <c r="L148" s="1" t="s">
        <v>248</v>
      </c>
      <c r="M148" s="2" t="s">
        <v>249</v>
      </c>
      <c r="N148" s="11">
        <v>668.1</v>
      </c>
      <c r="O148" s="11">
        <v>129.1</v>
      </c>
      <c r="P148" s="3">
        <f t="shared" si="2"/>
        <v>33405</v>
      </c>
      <c r="Q148" s="11"/>
    </row>
    <row r="149" spans="12:17" ht="15.75" x14ac:dyDescent="0.25">
      <c r="L149" s="1" t="s">
        <v>250</v>
      </c>
      <c r="M149" s="2" t="s">
        <v>251</v>
      </c>
      <c r="N149" s="11">
        <v>776.3</v>
      </c>
      <c r="O149" s="11">
        <v>183.5</v>
      </c>
      <c r="P149" s="3">
        <f t="shared" si="2"/>
        <v>38815</v>
      </c>
      <c r="Q149" s="3"/>
    </row>
    <row r="150" spans="12:17" ht="15.75" x14ac:dyDescent="0.25">
      <c r="L150" s="1" t="s">
        <v>67</v>
      </c>
      <c r="M150" s="2" t="s">
        <v>68</v>
      </c>
      <c r="N150" s="11">
        <v>235.8</v>
      </c>
      <c r="O150" s="11">
        <v>50.7</v>
      </c>
      <c r="P150" s="3">
        <f t="shared" si="2"/>
        <v>11790.000000000002</v>
      </c>
      <c r="Q150" s="11"/>
    </row>
    <row r="151" spans="12:17" ht="15.75" x14ac:dyDescent="0.25">
      <c r="L151" s="1" t="s">
        <v>234</v>
      </c>
      <c r="M151" s="2" t="s">
        <v>235</v>
      </c>
      <c r="N151" s="11">
        <v>234.1</v>
      </c>
      <c r="O151" s="11">
        <v>30.6</v>
      </c>
      <c r="P151" s="3">
        <f t="shared" si="2"/>
        <v>11705</v>
      </c>
      <c r="Q151" s="3"/>
    </row>
    <row r="152" spans="12:17" ht="15.75" x14ac:dyDescent="0.25">
      <c r="L152" s="1" t="s">
        <v>294</v>
      </c>
      <c r="M152" s="2" t="s">
        <v>295</v>
      </c>
      <c r="N152" s="11">
        <v>452.6</v>
      </c>
      <c r="O152" s="11">
        <v>93.1</v>
      </c>
      <c r="P152" s="3">
        <f t="shared" si="2"/>
        <v>22630.000000000004</v>
      </c>
      <c r="Q152" s="11"/>
    </row>
    <row r="153" spans="12:17" ht="15.75" x14ac:dyDescent="0.25">
      <c r="L153" s="1" t="s">
        <v>69</v>
      </c>
      <c r="M153" s="2" t="s">
        <v>70</v>
      </c>
      <c r="N153" s="11">
        <v>310.2</v>
      </c>
      <c r="O153" s="11">
        <v>67.400000000000006</v>
      </c>
      <c r="P153" s="3">
        <f t="shared" si="2"/>
        <v>15510</v>
      </c>
      <c r="Q153" s="11"/>
    </row>
    <row r="154" spans="12:17" ht="15.75" x14ac:dyDescent="0.25">
      <c r="L154" s="1" t="s">
        <v>144</v>
      </c>
      <c r="M154" s="2" t="s">
        <v>145</v>
      </c>
      <c r="N154" s="11">
        <v>236</v>
      </c>
      <c r="O154" s="11">
        <v>46.1</v>
      </c>
      <c r="P154" s="3">
        <f t="shared" si="2"/>
        <v>11800</v>
      </c>
      <c r="Q154" s="11"/>
    </row>
    <row r="155" spans="12:17" ht="15.75" x14ac:dyDescent="0.25">
      <c r="L155" s="1" t="s">
        <v>146</v>
      </c>
      <c r="M155" s="2" t="s">
        <v>147</v>
      </c>
      <c r="N155" s="11">
        <v>555.4</v>
      </c>
      <c r="O155" s="11">
        <v>117.5</v>
      </c>
      <c r="P155" s="3">
        <f t="shared" si="2"/>
        <v>27770</v>
      </c>
      <c r="Q155" s="11"/>
    </row>
    <row r="156" spans="12:17" ht="15.75" x14ac:dyDescent="0.25">
      <c r="L156" s="1"/>
      <c r="M156" s="2"/>
      <c r="N156" s="3"/>
      <c r="O156" s="3"/>
      <c r="P156" s="3"/>
      <c r="Q156" s="3"/>
    </row>
    <row r="157" spans="12:17" ht="15.75" x14ac:dyDescent="0.25">
      <c r="L157" s="6"/>
      <c r="M157" s="2"/>
      <c r="N157" s="7"/>
      <c r="O157" s="7"/>
      <c r="P157" s="7"/>
      <c r="Q157" s="7"/>
    </row>
    <row r="158" spans="12:17" ht="15.75" x14ac:dyDescent="0.25">
      <c r="L158" s="1"/>
      <c r="M158" s="2"/>
      <c r="N158" s="11"/>
      <c r="O158" s="11"/>
      <c r="P158" s="11"/>
      <c r="Q158" s="11"/>
    </row>
    <row r="159" spans="12:17" ht="15.75" x14ac:dyDescent="0.25">
      <c r="L159" s="13"/>
      <c r="M159" s="2"/>
      <c r="N159" s="14"/>
      <c r="O159" s="14"/>
      <c r="P159" s="14"/>
      <c r="Q159" s="14"/>
    </row>
    <row r="160" spans="12:17" ht="15.75" x14ac:dyDescent="0.25">
      <c r="L160" s="1"/>
      <c r="M160" s="2"/>
      <c r="N160" s="11"/>
      <c r="O160" s="11"/>
      <c r="P160" s="11"/>
      <c r="Q160" s="11"/>
    </row>
    <row r="161" spans="12:17" ht="15.75" x14ac:dyDescent="0.25">
      <c r="L161" s="13"/>
      <c r="M161" s="2"/>
      <c r="N161" s="14"/>
      <c r="O161" s="14"/>
      <c r="P161" s="14"/>
      <c r="Q161" s="14"/>
    </row>
    <row r="162" spans="12:17" ht="15.75" x14ac:dyDescent="0.25">
      <c r="L162" s="1"/>
      <c r="M162" s="2"/>
      <c r="N162" s="11"/>
      <c r="O162" s="11"/>
      <c r="P162" s="11"/>
      <c r="Q162" s="11"/>
    </row>
    <row r="163" spans="12:17" ht="15.75" x14ac:dyDescent="0.25">
      <c r="L163" s="6"/>
      <c r="M163" s="2"/>
      <c r="N163" s="14"/>
      <c r="O163" s="14"/>
      <c r="P163" s="14"/>
      <c r="Q163" s="14"/>
    </row>
    <row r="164" spans="12:17" ht="15.75" x14ac:dyDescent="0.25">
      <c r="L164" s="1"/>
      <c r="M164" s="2"/>
      <c r="N164" s="11"/>
      <c r="O164" s="11"/>
      <c r="P164" s="11"/>
      <c r="Q164" s="11"/>
    </row>
    <row r="165" spans="12:17" ht="15.75" x14ac:dyDescent="0.25">
      <c r="L165" s="6"/>
      <c r="M165" s="2"/>
      <c r="N165" s="14"/>
      <c r="O165" s="14"/>
      <c r="P165" s="14"/>
      <c r="Q165" s="14"/>
    </row>
    <row r="166" spans="12:17" ht="15.75" x14ac:dyDescent="0.25">
      <c r="L166" s="1"/>
      <c r="M166" s="2"/>
      <c r="N166" s="11"/>
      <c r="O166" s="11"/>
      <c r="P166" s="11"/>
      <c r="Q166" s="11"/>
    </row>
    <row r="167" spans="12:17" ht="15.75" x14ac:dyDescent="0.25">
      <c r="L167" s="6"/>
      <c r="M167" s="2"/>
      <c r="N167" s="14"/>
      <c r="O167" s="14"/>
      <c r="P167" s="14"/>
      <c r="Q167" s="14"/>
    </row>
    <row r="168" spans="12:17" ht="15.75" x14ac:dyDescent="0.25">
      <c r="L168" s="1"/>
      <c r="M168" s="2"/>
      <c r="N168" s="11"/>
      <c r="O168" s="11"/>
      <c r="P168" s="11"/>
      <c r="Q168" s="11"/>
    </row>
    <row r="169" spans="12:17" ht="15.75" x14ac:dyDescent="0.25">
      <c r="L169" s="13"/>
      <c r="M169" s="2"/>
      <c r="N169" s="11"/>
      <c r="O169" s="11"/>
      <c r="P169" s="11"/>
      <c r="Q169" s="11"/>
    </row>
    <row r="170" spans="12:17" ht="15.75" x14ac:dyDescent="0.25">
      <c r="L170" s="10"/>
      <c r="M170" s="2"/>
      <c r="N170" s="11"/>
      <c r="O170" s="11"/>
      <c r="P170" s="11"/>
      <c r="Q170" s="11"/>
    </row>
    <row r="171" spans="12:17" ht="15.75" x14ac:dyDescent="0.25">
      <c r="L171" s="13"/>
      <c r="M171" s="2"/>
      <c r="N171" s="11"/>
      <c r="O171" s="11"/>
      <c r="P171" s="11"/>
      <c r="Q171" s="11"/>
    </row>
    <row r="172" spans="12:17" ht="15.75" x14ac:dyDescent="0.25">
      <c r="L172" s="1"/>
      <c r="M172" s="2"/>
      <c r="N172" s="11"/>
      <c r="O172" s="11"/>
      <c r="P172" s="11"/>
      <c r="Q172" s="11"/>
    </row>
    <row r="173" spans="12:17" ht="15.75" x14ac:dyDescent="0.25">
      <c r="L173" s="6"/>
      <c r="M173" s="2"/>
      <c r="N173" s="11"/>
      <c r="O173" s="11"/>
      <c r="P173" s="11"/>
      <c r="Q173" s="11"/>
    </row>
  </sheetData>
  <sheetProtection selectLockedCells="1"/>
  <mergeCells count="5">
    <mergeCell ref="C2:F2"/>
    <mergeCell ref="C10:F10"/>
    <mergeCell ref="C4:F4"/>
    <mergeCell ref="C8:F8"/>
    <mergeCell ref="C6:F6"/>
  </mergeCells>
  <dataValidations count="2">
    <dataValidation type="list" allowBlank="1" showInputMessage="1" showErrorMessage="1" sqref="C10">
      <formula1>$S$2:$S$7</formula1>
    </dataValidation>
    <dataValidation type="list" allowBlank="1" showInputMessage="1" showErrorMessage="1" sqref="C2">
      <formula1>$L$2:$L$155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29"/>
  <sheetViews>
    <sheetView showGridLines="0" showRowColHeaders="0" zoomScaleNormal="100" workbookViewId="0">
      <selection activeCell="C9" sqref="C9"/>
    </sheetView>
  </sheetViews>
  <sheetFormatPr defaultRowHeight="15" x14ac:dyDescent="0.25"/>
  <cols>
    <col min="2" max="2" width="48.5703125" bestFit="1" customWidth="1"/>
    <col min="3" max="3" width="23.85546875" bestFit="1" customWidth="1"/>
    <col min="4" max="4" width="24.140625" bestFit="1" customWidth="1"/>
    <col min="5" max="5" width="24.28515625" bestFit="1" customWidth="1"/>
    <col min="6" max="6" width="12.7109375" bestFit="1" customWidth="1"/>
  </cols>
  <sheetData>
    <row r="1" spans="2:18" x14ac:dyDescent="0.25">
      <c r="O1" s="52" t="s">
        <v>346</v>
      </c>
      <c r="P1" s="52" t="s">
        <v>345</v>
      </c>
      <c r="Q1" s="52" t="s">
        <v>347</v>
      </c>
      <c r="R1" s="20" t="s">
        <v>1</v>
      </c>
    </row>
    <row r="2" spans="2:18" x14ac:dyDescent="0.25">
      <c r="B2" s="84" t="s">
        <v>340</v>
      </c>
      <c r="C2" s="84"/>
      <c r="N2" s="22" t="s">
        <v>301</v>
      </c>
      <c r="O2" s="64">
        <v>10.923022099037345</v>
      </c>
      <c r="P2" s="64">
        <v>9.2000000000000011</v>
      </c>
      <c r="Q2" s="64">
        <v>12.505115197109554</v>
      </c>
      <c r="R2" s="27"/>
    </row>
    <row r="3" spans="2:18" x14ac:dyDescent="0.25">
      <c r="B3" s="21"/>
      <c r="C3" s="21"/>
      <c r="N3" s="22" t="s">
        <v>302</v>
      </c>
      <c r="O3" s="64">
        <v>10.685226506926247</v>
      </c>
      <c r="P3" s="64">
        <v>9.2000000000000011</v>
      </c>
      <c r="Q3" s="64">
        <v>12.203289654311741</v>
      </c>
      <c r="R3" s="27"/>
    </row>
    <row r="4" spans="2:18" x14ac:dyDescent="0.25">
      <c r="B4" s="29" t="s">
        <v>388</v>
      </c>
      <c r="N4" s="22" t="s">
        <v>303</v>
      </c>
      <c r="O4" s="64">
        <v>10.87243380388135</v>
      </c>
      <c r="P4" s="64">
        <v>9.2000000000000011</v>
      </c>
      <c r="Q4" s="64">
        <v>12.548095765067883</v>
      </c>
      <c r="R4" s="27"/>
    </row>
    <row r="5" spans="2:18" x14ac:dyDescent="0.25">
      <c r="C5" s="52" t="s">
        <v>382</v>
      </c>
      <c r="D5" s="52" t="s">
        <v>383</v>
      </c>
      <c r="E5" s="52" t="s">
        <v>384</v>
      </c>
      <c r="F5" s="20" t="s">
        <v>1</v>
      </c>
      <c r="N5" s="22" t="s">
        <v>304</v>
      </c>
      <c r="O5" s="64">
        <v>8.7761737540263809</v>
      </c>
      <c r="P5" s="64">
        <v>7.4366666666666665</v>
      </c>
      <c r="Q5" s="64">
        <v>10.145295793997787</v>
      </c>
      <c r="R5" s="27"/>
    </row>
    <row r="6" spans="2:18" x14ac:dyDescent="0.25">
      <c r="B6" s="22" t="s">
        <v>385</v>
      </c>
      <c r="C6" s="27">
        <f>VLOOKUP('Input Sheet'!$C$10,$N$2:$Q$5,2,FALSE)</f>
        <v>8.7761737540263809</v>
      </c>
      <c r="D6" s="27">
        <f>VLOOKUP('Input Sheet'!$C$10,$N$2:$Q$5,3,FALSE)</f>
        <v>7.4366666666666665</v>
      </c>
      <c r="E6" s="27">
        <f>VLOOKUP('Input Sheet'!$C$10,$N$2:$Q$5,4,FALSE)</f>
        <v>10.145295793997787</v>
      </c>
      <c r="F6" s="27"/>
    </row>
    <row r="7" spans="2:18" x14ac:dyDescent="0.25">
      <c r="B7" s="22" t="s">
        <v>386</v>
      </c>
      <c r="C7" s="27">
        <f>VLOOKUP('Input Sheet'!$C$10,$N$10:$Q$13,2,FALSE)</f>
        <v>8.7761737540263809</v>
      </c>
      <c r="D7" s="27">
        <f>VLOOKUP('Input Sheet'!$C$10,$N$10:$Q$13,3,FALSE)</f>
        <v>7.4366666666666665</v>
      </c>
      <c r="E7" s="27">
        <f>VLOOKUP('Input Sheet'!$C$10,$N$10:$Q$13,4,FALSE)</f>
        <v>10.145295793997787</v>
      </c>
      <c r="F7" s="27"/>
      <c r="N7" s="29" t="s">
        <v>342</v>
      </c>
    </row>
    <row r="8" spans="2:18" x14ac:dyDescent="0.25">
      <c r="B8" s="22" t="s">
        <v>387</v>
      </c>
      <c r="C8" s="27">
        <f>VLOOKUP('Input Sheet'!$C$10,$N$18:$Q$21,2,FALSE)</f>
        <v>26.328521262079143</v>
      </c>
      <c r="D8" s="27">
        <f>VLOOKUP('Input Sheet'!$C$10,$N$18:$Q$21,3,FALSE)</f>
        <v>22.31</v>
      </c>
      <c r="E8" s="27">
        <f>VLOOKUP('Input Sheet'!$C$10,$N$18:$Q$21,4,FALSE)</f>
        <v>30.435887381993364</v>
      </c>
      <c r="F8" s="27">
        <f>F7*3</f>
        <v>0</v>
      </c>
      <c r="O8" s="18"/>
      <c r="P8" s="18"/>
      <c r="Q8" s="18"/>
    </row>
    <row r="9" spans="2:18" x14ac:dyDescent="0.25">
      <c r="G9" s="43"/>
      <c r="O9" s="52" t="s">
        <v>382</v>
      </c>
      <c r="P9" s="52" t="s">
        <v>383</v>
      </c>
      <c r="Q9" s="52" t="s">
        <v>384</v>
      </c>
      <c r="R9" s="20" t="s">
        <v>1</v>
      </c>
    </row>
    <row r="10" spans="2:18" x14ac:dyDescent="0.25">
      <c r="B10" s="35" t="s">
        <v>416</v>
      </c>
      <c r="F10" s="42"/>
      <c r="G10" s="43"/>
      <c r="N10" s="22" t="s">
        <v>301</v>
      </c>
      <c r="O10" s="64">
        <f t="shared" ref="O10:Q13" si="0">O18/3</f>
        <v>10.923022099037345</v>
      </c>
      <c r="P10" s="64">
        <f t="shared" si="0"/>
        <v>9.2000000000000011</v>
      </c>
      <c r="Q10" s="64">
        <f t="shared" si="0"/>
        <v>12.505115197109554</v>
      </c>
      <c r="R10" s="27"/>
    </row>
    <row r="11" spans="2:18" x14ac:dyDescent="0.25">
      <c r="B11" s="25"/>
      <c r="C11" s="39" t="s">
        <v>348</v>
      </c>
      <c r="D11" s="20" t="s">
        <v>1</v>
      </c>
      <c r="F11" s="42"/>
      <c r="G11" s="43"/>
      <c r="N11" s="22" t="s">
        <v>302</v>
      </c>
      <c r="O11" s="64">
        <f t="shared" si="0"/>
        <v>10.685226506926247</v>
      </c>
      <c r="P11" s="64">
        <f t="shared" si="0"/>
        <v>9.2000000000000011</v>
      </c>
      <c r="Q11" s="64">
        <f t="shared" si="0"/>
        <v>12.203289654311741</v>
      </c>
      <c r="R11" s="27"/>
    </row>
    <row r="12" spans="2:18" x14ac:dyDescent="0.25">
      <c r="B12" s="22" t="s">
        <v>415</v>
      </c>
      <c r="C12" s="27">
        <f>VLOOKUP('Input Sheet'!$C$10,$N$26:$Q$29,2,FALSE)</f>
        <v>31</v>
      </c>
      <c r="D12" s="27"/>
      <c r="F12" s="42"/>
      <c r="N12" s="22" t="s">
        <v>303</v>
      </c>
      <c r="O12" s="64">
        <f t="shared" si="0"/>
        <v>10.87243380388135</v>
      </c>
      <c r="P12" s="64">
        <f t="shared" si="0"/>
        <v>9.2000000000000011</v>
      </c>
      <c r="Q12" s="64">
        <f t="shared" si="0"/>
        <v>12.548095765067883</v>
      </c>
      <c r="R12" s="27"/>
    </row>
    <row r="13" spans="2:18" x14ac:dyDescent="0.25">
      <c r="N13" s="22" t="s">
        <v>304</v>
      </c>
      <c r="O13" s="64">
        <f t="shared" si="0"/>
        <v>8.7761737540263809</v>
      </c>
      <c r="P13" s="64">
        <f t="shared" si="0"/>
        <v>7.4366666666666665</v>
      </c>
      <c r="Q13" s="64">
        <f t="shared" si="0"/>
        <v>10.145295793997787</v>
      </c>
      <c r="R13" s="27"/>
    </row>
    <row r="14" spans="2:18" x14ac:dyDescent="0.25">
      <c r="B14" s="35" t="s">
        <v>370</v>
      </c>
      <c r="O14" s="65"/>
      <c r="P14" s="65"/>
      <c r="Q14" s="65"/>
    </row>
    <row r="15" spans="2:18" x14ac:dyDescent="0.25">
      <c r="B15" s="25"/>
      <c r="C15" s="51" t="s">
        <v>312</v>
      </c>
      <c r="D15" s="51" t="s">
        <v>315</v>
      </c>
      <c r="E15" s="51" t="s">
        <v>316</v>
      </c>
      <c r="F15" s="20" t="s">
        <v>317</v>
      </c>
      <c r="N15" s="29" t="s">
        <v>343</v>
      </c>
      <c r="O15" s="65"/>
      <c r="P15" s="65"/>
      <c r="Q15" s="65"/>
    </row>
    <row r="16" spans="2:18" x14ac:dyDescent="0.25">
      <c r="B16" s="23"/>
      <c r="C16" s="27">
        <v>71</v>
      </c>
      <c r="D16" s="27">
        <v>49</v>
      </c>
      <c r="E16" s="27">
        <v>92</v>
      </c>
      <c r="F16" s="27"/>
      <c r="O16" s="66"/>
      <c r="P16" s="66"/>
      <c r="Q16" s="66"/>
    </row>
    <row r="17" spans="2:22" x14ac:dyDescent="0.25">
      <c r="O17" s="67" t="s">
        <v>346</v>
      </c>
      <c r="P17" s="67" t="s">
        <v>345</v>
      </c>
      <c r="Q17" s="67" t="s">
        <v>347</v>
      </c>
      <c r="R17" s="20" t="s">
        <v>1</v>
      </c>
    </row>
    <row r="18" spans="2:22" x14ac:dyDescent="0.25">
      <c r="B18" s="35" t="s">
        <v>349</v>
      </c>
      <c r="H18" s="71"/>
      <c r="N18" s="22" t="s">
        <v>301</v>
      </c>
      <c r="O18" s="64">
        <v>32.769066297112033</v>
      </c>
      <c r="P18" s="64">
        <v>27.6</v>
      </c>
      <c r="Q18" s="64">
        <v>37.515345591328661</v>
      </c>
      <c r="R18" s="27">
        <f>R10*3</f>
        <v>0</v>
      </c>
    </row>
    <row r="19" spans="2:22" x14ac:dyDescent="0.25">
      <c r="C19" s="49" t="s">
        <v>312</v>
      </c>
      <c r="D19" s="49" t="s">
        <v>315</v>
      </c>
      <c r="E19" s="49" t="s">
        <v>316</v>
      </c>
      <c r="F19" s="50" t="s">
        <v>317</v>
      </c>
      <c r="H19" s="72"/>
      <c r="N19" s="22" t="s">
        <v>302</v>
      </c>
      <c r="O19" s="64">
        <v>32.055679520778739</v>
      </c>
      <c r="P19" s="64">
        <v>27.6</v>
      </c>
      <c r="Q19" s="64">
        <v>36.609868962935224</v>
      </c>
      <c r="R19" s="27">
        <f>R11*3</f>
        <v>0</v>
      </c>
    </row>
    <row r="20" spans="2:22" x14ac:dyDescent="0.25">
      <c r="B20" s="22" t="s">
        <v>350</v>
      </c>
      <c r="C20" s="45">
        <v>0.56000000000000005</v>
      </c>
      <c r="D20" s="45">
        <v>0.56000000000000005</v>
      </c>
      <c r="E20" s="45">
        <v>0.56000000000000005</v>
      </c>
      <c r="F20" s="19"/>
      <c r="N20" s="22" t="s">
        <v>303</v>
      </c>
      <c r="O20" s="64">
        <v>32.61730141164405</v>
      </c>
      <c r="P20" s="64">
        <v>27.6</v>
      </c>
      <c r="Q20" s="64">
        <v>37.644287295203647</v>
      </c>
      <c r="R20" s="27">
        <f>R12*3</f>
        <v>0</v>
      </c>
      <c r="U20">
        <f>U21*1.2</f>
        <v>27.599999999999998</v>
      </c>
    </row>
    <row r="21" spans="2:22" x14ac:dyDescent="0.25">
      <c r="B21" s="22" t="s">
        <v>351</v>
      </c>
      <c r="C21" s="27">
        <v>60.89855072463768</v>
      </c>
      <c r="D21" s="27">
        <v>40.59903381642512</v>
      </c>
      <c r="E21" s="27">
        <v>88.810386473429944</v>
      </c>
      <c r="F21" s="27"/>
      <c r="G21" s="42"/>
      <c r="N21" s="22" t="s">
        <v>304</v>
      </c>
      <c r="O21" s="64">
        <v>26.328521262079143</v>
      </c>
      <c r="P21" s="64">
        <v>22.31</v>
      </c>
      <c r="Q21" s="64">
        <v>30.435887381993364</v>
      </c>
      <c r="R21" s="27">
        <f>R13*3</f>
        <v>0</v>
      </c>
      <c r="U21">
        <v>23</v>
      </c>
      <c r="V21">
        <f>U21*0.97</f>
        <v>22.31</v>
      </c>
    </row>
    <row r="22" spans="2:22" x14ac:dyDescent="0.25">
      <c r="G22" s="42"/>
    </row>
    <row r="23" spans="2:22" x14ac:dyDescent="0.25">
      <c r="B23" s="29" t="s">
        <v>363</v>
      </c>
      <c r="G23" s="42"/>
    </row>
    <row r="24" spans="2:22" x14ac:dyDescent="0.25">
      <c r="D24" s="51" t="s">
        <v>348</v>
      </c>
      <c r="E24" s="50" t="s">
        <v>317</v>
      </c>
      <c r="N24" s="35" t="s">
        <v>341</v>
      </c>
      <c r="R24" s="42"/>
    </row>
    <row r="25" spans="2:22" x14ac:dyDescent="0.25">
      <c r="B25" s="99" t="s">
        <v>405</v>
      </c>
      <c r="C25" s="100"/>
      <c r="D25" s="27">
        <v>3000</v>
      </c>
      <c r="E25" s="19"/>
      <c r="H25" s="42"/>
      <c r="N25" s="25"/>
      <c r="O25" s="52" t="s">
        <v>348</v>
      </c>
      <c r="P25" s="20" t="s">
        <v>1</v>
      </c>
      <c r="R25" s="42"/>
    </row>
    <row r="26" spans="2:22" x14ac:dyDescent="0.25">
      <c r="H26" s="42"/>
      <c r="N26" s="22" t="s">
        <v>301</v>
      </c>
      <c r="O26" s="27">
        <v>32</v>
      </c>
      <c r="P26" s="27"/>
      <c r="R26" s="42"/>
    </row>
    <row r="27" spans="2:22" x14ac:dyDescent="0.25">
      <c r="C27" s="42"/>
      <c r="H27" s="42"/>
      <c r="N27" s="22" t="s">
        <v>302</v>
      </c>
      <c r="O27" s="27">
        <v>31.619323453205592</v>
      </c>
      <c r="P27" s="27"/>
      <c r="R27" s="42"/>
    </row>
    <row r="28" spans="2:22" x14ac:dyDescent="0.25">
      <c r="H28" s="42"/>
      <c r="N28" s="22" t="s">
        <v>303</v>
      </c>
      <c r="O28" s="27">
        <v>31.230085517745291</v>
      </c>
      <c r="P28" s="27"/>
    </row>
    <row r="29" spans="2:22" x14ac:dyDescent="0.25">
      <c r="N29" s="22" t="s">
        <v>304</v>
      </c>
      <c r="O29" s="27">
        <v>31</v>
      </c>
      <c r="P29" s="27"/>
    </row>
  </sheetData>
  <mergeCells count="1">
    <mergeCell ref="B25:C2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I16"/>
  <sheetViews>
    <sheetView showGridLines="0" showRowColHeaders="0" workbookViewId="0">
      <selection activeCell="G34" sqref="G34"/>
    </sheetView>
  </sheetViews>
  <sheetFormatPr defaultRowHeight="15" x14ac:dyDescent="0.25"/>
  <cols>
    <col min="3" max="3" width="30" bestFit="1" customWidth="1"/>
    <col min="4" max="4" width="25.85546875" style="17" bestFit="1" customWidth="1"/>
    <col min="7" max="8" width="12.42578125" bestFit="1" customWidth="1"/>
  </cols>
  <sheetData>
    <row r="2" spans="3:9" x14ac:dyDescent="0.25">
      <c r="E2" s="30" t="s">
        <v>312</v>
      </c>
      <c r="F2" s="30" t="s">
        <v>315</v>
      </c>
      <c r="G2" s="30" t="s">
        <v>316</v>
      </c>
      <c r="H2" s="30" t="s">
        <v>317</v>
      </c>
    </row>
    <row r="3" spans="3:9" x14ac:dyDescent="0.25">
      <c r="C3" s="104" t="s">
        <v>328</v>
      </c>
      <c r="D3" s="22" t="s">
        <v>357</v>
      </c>
      <c r="E3" s="44">
        <v>0.3</v>
      </c>
      <c r="F3" s="89">
        <v>0.4</v>
      </c>
      <c r="G3" s="89">
        <v>0.2</v>
      </c>
      <c r="H3" s="19"/>
    </row>
    <row r="4" spans="3:9" x14ac:dyDescent="0.25">
      <c r="C4" s="105"/>
      <c r="D4" s="34" t="s">
        <v>314</v>
      </c>
      <c r="E4" s="44">
        <v>0.15</v>
      </c>
      <c r="F4" s="89">
        <v>0.1</v>
      </c>
      <c r="G4" s="89">
        <v>0.2</v>
      </c>
      <c r="H4" s="26"/>
    </row>
    <row r="5" spans="3:9" x14ac:dyDescent="0.25">
      <c r="C5" s="106"/>
      <c r="D5" s="34" t="s">
        <v>318</v>
      </c>
      <c r="E5" s="44">
        <v>0.55000000000000004</v>
      </c>
      <c r="F5" s="89">
        <v>0.5</v>
      </c>
      <c r="G5" s="89">
        <v>0.6</v>
      </c>
      <c r="H5" s="26"/>
    </row>
    <row r="6" spans="3:9" x14ac:dyDescent="0.25">
      <c r="C6" s="47"/>
      <c r="D6" s="23"/>
      <c r="E6" s="48"/>
      <c r="F6" s="48"/>
      <c r="G6" s="48"/>
      <c r="H6" s="33"/>
    </row>
    <row r="7" spans="3:9" x14ac:dyDescent="0.25">
      <c r="E7" s="38" t="s">
        <v>312</v>
      </c>
      <c r="F7" s="38" t="s">
        <v>315</v>
      </c>
      <c r="G7" s="38" t="s">
        <v>316</v>
      </c>
      <c r="H7" s="38" t="s">
        <v>317</v>
      </c>
    </row>
    <row r="8" spans="3:9" ht="15" customHeight="1" x14ac:dyDescent="0.25">
      <c r="C8" s="101" t="s">
        <v>352</v>
      </c>
      <c r="D8" s="34" t="s">
        <v>319</v>
      </c>
      <c r="E8" s="67">
        <v>3</v>
      </c>
      <c r="F8" s="67">
        <v>2</v>
      </c>
      <c r="G8" s="67">
        <v>4</v>
      </c>
      <c r="H8" s="37"/>
    </row>
    <row r="9" spans="3:9" x14ac:dyDescent="0.25">
      <c r="C9" s="102"/>
      <c r="D9" s="34" t="s">
        <v>329</v>
      </c>
      <c r="E9" s="67">
        <v>1</v>
      </c>
      <c r="F9" s="67">
        <v>0</v>
      </c>
      <c r="G9" s="67">
        <v>2</v>
      </c>
      <c r="H9" s="37"/>
    </row>
    <row r="10" spans="3:9" x14ac:dyDescent="0.25">
      <c r="C10" s="103"/>
      <c r="D10" s="34" t="s">
        <v>320</v>
      </c>
      <c r="E10" s="67">
        <v>2</v>
      </c>
      <c r="F10" s="67">
        <v>1</v>
      </c>
      <c r="G10" s="67">
        <v>3</v>
      </c>
      <c r="H10" s="37"/>
    </row>
    <row r="12" spans="3:9" x14ac:dyDescent="0.25">
      <c r="E12" s="40" t="s">
        <v>312</v>
      </c>
      <c r="F12" s="40" t="s">
        <v>315</v>
      </c>
      <c r="G12" s="40" t="s">
        <v>316</v>
      </c>
      <c r="H12" s="40" t="s">
        <v>317</v>
      </c>
    </row>
    <row r="13" spans="3:9" x14ac:dyDescent="0.25">
      <c r="C13" s="40" t="s">
        <v>369</v>
      </c>
      <c r="D13" s="22" t="s">
        <v>409</v>
      </c>
      <c r="E13" s="46">
        <v>0.9</v>
      </c>
      <c r="F13" s="90">
        <v>0.875</v>
      </c>
      <c r="G13" s="90">
        <v>0.92500000000000004</v>
      </c>
      <c r="H13" s="39"/>
    </row>
    <row r="14" spans="3:9" x14ac:dyDescent="0.25">
      <c r="C14" s="83"/>
    </row>
    <row r="15" spans="3:9" x14ac:dyDescent="0.25">
      <c r="C15" s="83"/>
    </row>
    <row r="16" spans="3:9" x14ac:dyDescent="0.25">
      <c r="I16" s="25"/>
    </row>
  </sheetData>
  <mergeCells count="2">
    <mergeCell ref="C8:C10"/>
    <mergeCell ref="C3:C5"/>
  </mergeCells>
  <pageMargins left="0.7" right="0.7" top="0.75" bottom="0.75" header="0.3" footer="0.3"/>
  <pageSetup orientation="portrait" horizontalDpi="4294967293"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N30"/>
  <sheetViews>
    <sheetView showGridLines="0" showRowColHeaders="0" topLeftCell="A3" workbookViewId="0">
      <selection activeCell="E31" sqref="E31"/>
    </sheetView>
  </sheetViews>
  <sheetFormatPr defaultRowHeight="15" x14ac:dyDescent="0.25"/>
  <cols>
    <col min="3" max="3" width="30" bestFit="1" customWidth="1"/>
    <col min="4" max="4" width="50.140625" style="17" bestFit="1" customWidth="1"/>
    <col min="7" max="8" width="12.42578125" bestFit="1" customWidth="1"/>
    <col min="11" max="28" width="0" hidden="1" customWidth="1"/>
  </cols>
  <sheetData>
    <row r="2" spans="3:14" x14ac:dyDescent="0.25">
      <c r="E2" s="30" t="s">
        <v>312</v>
      </c>
      <c r="F2" s="30" t="s">
        <v>315</v>
      </c>
      <c r="G2" s="30" t="s">
        <v>316</v>
      </c>
      <c r="H2" s="30" t="s">
        <v>317</v>
      </c>
      <c r="K2" t="s">
        <v>334</v>
      </c>
      <c r="L2" s="36">
        <v>0.6</v>
      </c>
      <c r="M2" s="36">
        <v>0.55000000000000004</v>
      </c>
      <c r="N2" s="36">
        <v>0.65</v>
      </c>
    </row>
    <row r="3" spans="3:14" ht="15" customHeight="1" x14ac:dyDescent="0.25">
      <c r="C3" s="104" t="s">
        <v>330</v>
      </c>
      <c r="D3" s="34" t="s">
        <v>332</v>
      </c>
      <c r="E3" s="44">
        <v>0.7</v>
      </c>
      <c r="F3" s="89">
        <v>0.6</v>
      </c>
      <c r="G3" s="89">
        <v>0.8</v>
      </c>
      <c r="H3" s="39">
        <v>0</v>
      </c>
      <c r="K3" t="s">
        <v>335</v>
      </c>
      <c r="L3" s="44">
        <v>0.7</v>
      </c>
      <c r="M3" s="44">
        <v>0.65</v>
      </c>
      <c r="N3" s="44">
        <v>0.75</v>
      </c>
    </row>
    <row r="4" spans="3:14" x14ac:dyDescent="0.25">
      <c r="C4" s="105"/>
      <c r="D4" s="34" t="s">
        <v>354</v>
      </c>
      <c r="E4" s="39">
        <v>8</v>
      </c>
      <c r="F4" s="67">
        <v>7</v>
      </c>
      <c r="G4" s="67">
        <v>9</v>
      </c>
      <c r="H4" s="39">
        <v>0</v>
      </c>
      <c r="K4" t="s">
        <v>336</v>
      </c>
      <c r="L4" s="36">
        <v>0.8</v>
      </c>
      <c r="M4" s="36">
        <v>0.75</v>
      </c>
      <c r="N4" s="36">
        <v>0.85</v>
      </c>
    </row>
    <row r="5" spans="3:14" x14ac:dyDescent="0.25">
      <c r="C5" s="106"/>
      <c r="D5" s="34" t="s">
        <v>333</v>
      </c>
      <c r="E5" s="39">
        <v>9</v>
      </c>
      <c r="F5" s="67">
        <v>8</v>
      </c>
      <c r="G5" s="67">
        <v>10</v>
      </c>
      <c r="H5" s="61">
        <v>1.0000000000000001E-5</v>
      </c>
    </row>
    <row r="7" spans="3:14" x14ac:dyDescent="0.25">
      <c r="E7" s="30" t="s">
        <v>312</v>
      </c>
      <c r="F7" s="30" t="s">
        <v>315</v>
      </c>
      <c r="G7" s="30" t="s">
        <v>316</v>
      </c>
      <c r="H7" s="30" t="s">
        <v>317</v>
      </c>
    </row>
    <row r="8" spans="3:14" x14ac:dyDescent="0.25">
      <c r="C8" s="101" t="s">
        <v>344</v>
      </c>
      <c r="D8" s="34" t="s">
        <v>335</v>
      </c>
      <c r="E8" s="36">
        <f>VLOOKUP($D$8,$K$2:$N$4,2,FALSE)</f>
        <v>0.7</v>
      </c>
      <c r="F8" s="91">
        <f>VLOOKUP($D$8,$K$2:$N$4,3,FALSE)</f>
        <v>0.65</v>
      </c>
      <c r="G8" s="91">
        <f>VLOOKUP($D$8,$K$2:$N$4,4,FALSE)</f>
        <v>0.75</v>
      </c>
      <c r="H8" s="36"/>
    </row>
    <row r="9" spans="3:14" x14ac:dyDescent="0.25">
      <c r="C9" s="103"/>
      <c r="D9" s="22" t="s">
        <v>353</v>
      </c>
      <c r="E9" s="39">
        <v>7</v>
      </c>
      <c r="F9" s="67">
        <v>6</v>
      </c>
      <c r="G9" s="67">
        <v>8</v>
      </c>
      <c r="H9" s="39"/>
    </row>
    <row r="11" spans="3:14" ht="15" customHeight="1" x14ac:dyDescent="0.25">
      <c r="E11" s="40" t="s">
        <v>312</v>
      </c>
      <c r="F11" s="40" t="s">
        <v>315</v>
      </c>
      <c r="G11" s="40" t="s">
        <v>316</v>
      </c>
      <c r="H11" s="40" t="s">
        <v>317</v>
      </c>
    </row>
    <row r="12" spans="3:14" x14ac:dyDescent="0.25">
      <c r="C12" s="101" t="s">
        <v>379</v>
      </c>
      <c r="D12" s="34" t="s">
        <v>319</v>
      </c>
      <c r="E12" s="61">
        <v>4</v>
      </c>
      <c r="F12" s="92">
        <v>3</v>
      </c>
      <c r="G12" s="92">
        <v>5</v>
      </c>
      <c r="H12" s="61"/>
    </row>
    <row r="13" spans="3:14" x14ac:dyDescent="0.25">
      <c r="C13" s="102"/>
      <c r="D13" s="57" t="s">
        <v>365</v>
      </c>
      <c r="E13" s="62">
        <v>3</v>
      </c>
      <c r="F13" s="93">
        <v>2</v>
      </c>
      <c r="G13" s="93">
        <v>4</v>
      </c>
      <c r="H13" s="62"/>
    </row>
    <row r="14" spans="3:14" ht="15" customHeight="1" x14ac:dyDescent="0.25">
      <c r="C14" s="102"/>
      <c r="D14" s="22" t="s">
        <v>366</v>
      </c>
      <c r="E14" s="61">
        <v>4</v>
      </c>
      <c r="F14" s="92">
        <v>3</v>
      </c>
      <c r="G14" s="92">
        <v>5</v>
      </c>
      <c r="H14" s="61"/>
    </row>
    <row r="15" spans="3:14" x14ac:dyDescent="0.25">
      <c r="C15" s="103"/>
      <c r="D15" s="22" t="s">
        <v>367</v>
      </c>
      <c r="E15" s="61">
        <v>3</v>
      </c>
      <c r="F15" s="92">
        <v>2</v>
      </c>
      <c r="G15" s="92">
        <v>4</v>
      </c>
      <c r="H15" s="68"/>
    </row>
    <row r="16" spans="3:14" s="25" customFormat="1" x14ac:dyDescent="0.25">
      <c r="C16" s="54"/>
      <c r="D16" s="23"/>
      <c r="E16" s="33"/>
      <c r="F16" s="33"/>
      <c r="G16" s="33"/>
      <c r="H16" s="56"/>
    </row>
    <row r="17" spans="3:9" x14ac:dyDescent="0.25">
      <c r="E17" s="40" t="s">
        <v>312</v>
      </c>
      <c r="F17" s="40" t="s">
        <v>315</v>
      </c>
      <c r="G17" s="40" t="s">
        <v>316</v>
      </c>
      <c r="H17" s="40" t="s">
        <v>317</v>
      </c>
    </row>
    <row r="18" spans="3:9" x14ac:dyDescent="0.25">
      <c r="C18" s="101" t="s">
        <v>368</v>
      </c>
      <c r="D18" s="34" t="s">
        <v>319</v>
      </c>
      <c r="E18" s="58">
        <v>0.9</v>
      </c>
      <c r="F18" s="94">
        <v>0.8</v>
      </c>
      <c r="G18" s="94">
        <v>1</v>
      </c>
      <c r="H18" s="58"/>
    </row>
    <row r="19" spans="3:9" ht="15" customHeight="1" x14ac:dyDescent="0.25">
      <c r="C19" s="102"/>
      <c r="D19" s="34" t="s">
        <v>365</v>
      </c>
      <c r="E19" s="41">
        <v>0.9</v>
      </c>
      <c r="F19" s="67">
        <v>0.8</v>
      </c>
      <c r="G19" s="67">
        <v>1</v>
      </c>
      <c r="H19" s="41"/>
    </row>
    <row r="20" spans="3:9" x14ac:dyDescent="0.25">
      <c r="C20" s="102"/>
      <c r="D20" s="34" t="s">
        <v>366</v>
      </c>
      <c r="E20" s="41">
        <v>0.75</v>
      </c>
      <c r="F20" s="67">
        <v>0.65</v>
      </c>
      <c r="G20" s="67">
        <v>0.85</v>
      </c>
      <c r="H20" s="41"/>
    </row>
    <row r="21" spans="3:9" x14ac:dyDescent="0.25">
      <c r="C21" s="103"/>
      <c r="D21" s="34" t="s">
        <v>367</v>
      </c>
      <c r="E21" s="41">
        <v>0.5</v>
      </c>
      <c r="F21" s="67">
        <v>0.4</v>
      </c>
      <c r="G21" s="67">
        <v>0.6</v>
      </c>
      <c r="H21" s="55"/>
    </row>
    <row r="22" spans="3:9" x14ac:dyDescent="0.25">
      <c r="C22" s="54"/>
      <c r="D22" s="23"/>
      <c r="E22" s="25"/>
      <c r="F22" s="25"/>
      <c r="G22" s="25"/>
      <c r="H22" s="25"/>
    </row>
    <row r="23" spans="3:9" x14ac:dyDescent="0.25">
      <c r="E23" s="40" t="s">
        <v>312</v>
      </c>
      <c r="F23" s="40" t="s">
        <v>315</v>
      </c>
      <c r="G23" s="40" t="s">
        <v>316</v>
      </c>
      <c r="H23" s="40" t="s">
        <v>317</v>
      </c>
      <c r="I23" s="25"/>
    </row>
    <row r="24" spans="3:9" x14ac:dyDescent="0.25">
      <c r="C24" s="104" t="s">
        <v>356</v>
      </c>
      <c r="D24" s="22" t="s">
        <v>319</v>
      </c>
      <c r="E24" s="90">
        <v>0.34</v>
      </c>
      <c r="F24" s="90">
        <v>0.32</v>
      </c>
      <c r="G24" s="90">
        <v>0.36</v>
      </c>
      <c r="H24" s="41"/>
    </row>
    <row r="25" spans="3:9" ht="15" customHeight="1" x14ac:dyDescent="0.25">
      <c r="C25" s="106"/>
      <c r="D25" s="22" t="s">
        <v>364</v>
      </c>
      <c r="E25" s="46">
        <v>0.255</v>
      </c>
      <c r="F25" s="90">
        <v>0.23499999999999999</v>
      </c>
      <c r="G25" s="90">
        <v>0.27500000000000002</v>
      </c>
      <c r="H25" s="41"/>
    </row>
    <row r="26" spans="3:9" ht="15" customHeight="1" x14ac:dyDescent="0.25"/>
    <row r="27" spans="3:9" ht="15" customHeight="1" x14ac:dyDescent="0.25">
      <c r="D27"/>
    </row>
    <row r="28" spans="3:9" ht="15" customHeight="1" x14ac:dyDescent="0.25">
      <c r="D28"/>
    </row>
    <row r="29" spans="3:9" x14ac:dyDescent="0.25">
      <c r="D29"/>
    </row>
    <row r="30" spans="3:9" ht="15" customHeight="1" x14ac:dyDescent="0.25"/>
  </sheetData>
  <mergeCells count="5">
    <mergeCell ref="C8:C9"/>
    <mergeCell ref="C12:C15"/>
    <mergeCell ref="C3:C5"/>
    <mergeCell ref="C24:C25"/>
    <mergeCell ref="C18:C21"/>
  </mergeCells>
  <dataValidations count="1">
    <dataValidation type="list" allowBlank="1" showInputMessage="1" showErrorMessage="1" sqref="D8">
      <formula1>$K$2:$K$4</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
  <sheetViews>
    <sheetView showGridLines="0" showRowColHeaders="0" workbookViewId="0">
      <selection activeCell="C10" sqref="C10"/>
    </sheetView>
  </sheetViews>
  <sheetFormatPr defaultRowHeight="15" x14ac:dyDescent="0.25"/>
  <cols>
    <col min="3" max="3" width="48.5703125" style="87" customWidth="1"/>
  </cols>
  <sheetData>
    <row r="3" spans="2:3" ht="30" x14ac:dyDescent="0.25">
      <c r="B3" s="88" t="s">
        <v>312</v>
      </c>
      <c r="C3" s="87" t="s">
        <v>419</v>
      </c>
    </row>
    <row r="4" spans="2:3" x14ac:dyDescent="0.25">
      <c r="B4" s="86"/>
    </row>
    <row r="5" spans="2:3" ht="60" x14ac:dyDescent="0.25">
      <c r="B5" s="88" t="s">
        <v>408</v>
      </c>
      <c r="C5" s="87" t="s">
        <v>420</v>
      </c>
    </row>
    <row r="6" spans="2:3" x14ac:dyDescent="0.25">
      <c r="B6" s="86"/>
    </row>
    <row r="7" spans="2:3" ht="60" x14ac:dyDescent="0.25">
      <c r="B7" s="88" t="s">
        <v>418</v>
      </c>
      <c r="C7" s="87" t="s">
        <v>421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F14"/>
  <sheetViews>
    <sheetView showGridLines="0" showRowColHeaders="0" workbookViewId="0">
      <selection activeCell="F15" sqref="F15"/>
    </sheetView>
  </sheetViews>
  <sheetFormatPr defaultRowHeight="15" x14ac:dyDescent="0.25"/>
  <cols>
    <col min="2" max="2" width="52.140625" bestFit="1" customWidth="1"/>
    <col min="3" max="6" width="14.5703125" customWidth="1"/>
  </cols>
  <sheetData>
    <row r="3" spans="2:6" x14ac:dyDescent="0.25">
      <c r="B3" s="29" t="s">
        <v>327</v>
      </c>
    </row>
    <row r="4" spans="2:6" x14ac:dyDescent="0.25">
      <c r="C4" s="31" t="s">
        <v>312</v>
      </c>
      <c r="D4" s="53" t="s">
        <v>408</v>
      </c>
      <c r="E4" s="70" t="s">
        <v>418</v>
      </c>
      <c r="F4" s="31" t="s">
        <v>1</v>
      </c>
    </row>
    <row r="5" spans="2:6" x14ac:dyDescent="0.25">
      <c r="B5" s="32" t="s">
        <v>337</v>
      </c>
      <c r="C5" s="59">
        <f>'Input Sheet'!$C$8*('Acute Treatment Assumpts.'!E4+'Acute Treatment Assumpts.'!E5)/(3*7.5*0.634*5*41.3)</f>
        <v>8.2601127567175805</v>
      </c>
      <c r="D5" s="59">
        <f>'Input Sheet'!$C$8*('Acute Treatment Assumpts.'!G4+'Acute Treatment Assumpts.'!G5)/(3*7.5*0.634*5*41.3)</f>
        <v>9.4401288648200907</v>
      </c>
      <c r="E5" s="59">
        <f>'Input Sheet'!$C$8*('Acute Treatment Assumpts.'!F4+'Acute Treatment Assumpts.'!F5)/(3*7.5*0.634*5*41.3)</f>
        <v>7.0800966486150685</v>
      </c>
      <c r="F5" s="59">
        <f>'Input Sheet'!$C$8*('Acute Treatment Assumpts.'!H4+'Acute Treatment Assumpts.'!H5)/(3*7.5*0.634*5*41.3)</f>
        <v>0</v>
      </c>
    </row>
    <row r="6" spans="2:6" x14ac:dyDescent="0.25">
      <c r="B6" s="22" t="s">
        <v>325</v>
      </c>
      <c r="C6" s="27">
        <f>C5*'Cost and Staff Assumptions'!C6*3*7.5*5*41.3</f>
        <v>336816.81353780744</v>
      </c>
      <c r="D6" s="27">
        <f>D5*'Cost and Staff Assumptions'!D6*3*7.5*5*41.3</f>
        <v>326181.11461619346</v>
      </c>
      <c r="E6" s="27">
        <f>E5*'Cost and Staff Assumptions'!E6*3*7.5*5*41.3</f>
        <v>333738.62630854553</v>
      </c>
      <c r="F6" s="27">
        <f>F5*'Cost and Staff Assumptions'!F6*3*7.5*5*41.3</f>
        <v>0</v>
      </c>
    </row>
    <row r="7" spans="2:6" x14ac:dyDescent="0.25">
      <c r="B7" s="22" t="s">
        <v>410</v>
      </c>
      <c r="C7" s="27">
        <f>'Acute Treatment Assumpts.'!E5*'Acute Treatment Assumpts.'!E10*'Cost and Staff Assumptions'!$C$12*'Input Sheet'!$C$8+'Acute Treatment Assumpts.'!E8*'Acute Treatment Assumpts.'!E3*'Input Sheet'!$C$8*'Cost and Staff Assumptions'!$C$12+'Acute Treatment Assumpts.'!E4*'Acute Treatment Assumpts.'!E9*'Input Sheet'!$C$8*'Cost and Staff Assumptions'!$C$12</f>
        <v>2316754</v>
      </c>
      <c r="D7" s="27">
        <f>'Acute Treatment Assumpts.'!G5*'Acute Treatment Assumpts.'!F10*'Cost and Staff Assumptions'!$C$12*'Input Sheet'!$C$8+'Acute Treatment Assumpts.'!F8*'Acute Treatment Assumpts.'!G3*'Input Sheet'!$C$8*'Cost and Staff Assumptions'!$C$12+'Acute Treatment Assumpts.'!G4*'Acute Treatment Assumpts.'!F9*'Input Sheet'!$C$8*'Cost and Staff Assumptions'!$C$12</f>
        <v>1077560</v>
      </c>
      <c r="E7" s="27">
        <f>'Acute Treatment Assumpts.'!F5*'Acute Treatment Assumpts.'!G10*'Cost and Staff Assumptions'!$C$12*'Input Sheet'!$C$8+'Acute Treatment Assumpts.'!G8*'Acute Treatment Assumpts.'!F3*'Input Sheet'!$C$8*'Cost and Staff Assumptions'!$C$12+'Acute Treatment Assumpts.'!F4*'Acute Treatment Assumpts.'!G9*'Input Sheet'!$C$8*'Cost and Staff Assumptions'!$C$12</f>
        <v>3555948</v>
      </c>
      <c r="F7" s="27">
        <f>'Acute Treatment Assumpts.'!H5*'Acute Treatment Assumpts.'!H10*'Cost and Staff Assumptions'!$C$12*'Input Sheet'!$C$8+'Acute Treatment Assumpts.'!H8*'Acute Treatment Assumpts.'!H3*'Input Sheet'!$C$8*'Cost and Staff Assumptions'!$C$12+'Acute Treatment Assumpts.'!H4*'Acute Treatment Assumpts.'!H9*'Input Sheet'!$C$8*'Cost and Staff Assumptions'!$C$12</f>
        <v>0</v>
      </c>
    </row>
    <row r="8" spans="2:6" x14ac:dyDescent="0.25">
      <c r="B8" s="22" t="s">
        <v>411</v>
      </c>
      <c r="C8" s="27">
        <f>C7+C6</f>
        <v>2653570.8135378072</v>
      </c>
      <c r="D8" s="27">
        <f>D7+D6</f>
        <v>1403741.1146161933</v>
      </c>
      <c r="E8" s="27">
        <f>E7+E6</f>
        <v>3889686.6263085455</v>
      </c>
      <c r="F8" s="27">
        <f>F7+F6</f>
        <v>0</v>
      </c>
    </row>
    <row r="10" spans="2:6" x14ac:dyDescent="0.25">
      <c r="B10" s="22" t="s">
        <v>326</v>
      </c>
      <c r="C10" s="27">
        <f>'Input Sheet'!$C$8*'Cost and Staff Assumptions'!$C$12*'Acute Treatment Assumpts.'!E8</f>
        <v>3232680</v>
      </c>
      <c r="D10" s="27">
        <f>'Input Sheet'!$C$8*'Cost and Staff Assumptions'!$C$12*'Acute Treatment Assumpts.'!G8</f>
        <v>4310240</v>
      </c>
      <c r="E10" s="27">
        <f>'Input Sheet'!$C$8*'Cost and Staff Assumptions'!$C$12*'Acute Treatment Assumpts.'!F8</f>
        <v>2155120</v>
      </c>
      <c r="F10" s="27">
        <f>'Input Sheet'!$C$8*'Cost and Staff Assumptions'!$C$12*'Acute Treatment Assumpts.'!H8</f>
        <v>0</v>
      </c>
    </row>
    <row r="12" spans="2:6" x14ac:dyDescent="0.25">
      <c r="B12" s="22" t="s">
        <v>355</v>
      </c>
      <c r="C12" s="27">
        <f>C8-C10</f>
        <v>-579109.1864621928</v>
      </c>
      <c r="D12" s="27">
        <f>D8-D10</f>
        <v>-2906498.8853838067</v>
      </c>
      <c r="E12" s="27">
        <f>E8-E10</f>
        <v>1734566.6263085455</v>
      </c>
      <c r="F12" s="27">
        <f>F8-F10</f>
        <v>0</v>
      </c>
    </row>
    <row r="14" spans="2:6" x14ac:dyDescent="0.25">
      <c r="B14" s="22" t="s">
        <v>412</v>
      </c>
      <c r="C14" s="27">
        <f>-('Cost and Staff Assumptions'!C$6-'Cost and Staff Assumptions'!$C$12)</f>
        <v>22.223826245973619</v>
      </c>
      <c r="D14" s="27">
        <f>-('Cost and Staff Assumptions'!D$6-'Cost and Staff Assumptions'!$C$12)</f>
        <v>23.563333333333333</v>
      </c>
      <c r="E14" s="27">
        <f>-('Cost and Staff Assumptions'!E$6-'Cost and Staff Assumptions'!$C$12)</f>
        <v>20.854704206002211</v>
      </c>
      <c r="F14" s="27" t="str">
        <f>IF('Cost and Staff Assumptions'!F$6="","",-('Cost and Staff Assumptions'!F$6-'Cost and Staff Assumptions'!$C$12))</f>
        <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O51"/>
  <sheetViews>
    <sheetView showGridLines="0" showRowColHeaders="0" workbookViewId="0">
      <selection activeCell="C50" sqref="C50"/>
    </sheetView>
  </sheetViews>
  <sheetFormatPr defaultRowHeight="15" x14ac:dyDescent="0.25"/>
  <cols>
    <col min="2" max="2" width="53.5703125" bestFit="1" customWidth="1"/>
    <col min="3" max="3" width="14.28515625" bestFit="1" customWidth="1"/>
    <col min="4" max="10" width="13.140625" customWidth="1"/>
    <col min="12" max="12" width="34.140625" hidden="1" customWidth="1"/>
    <col min="13" max="14" width="0" hidden="1" customWidth="1"/>
    <col min="15" max="15" width="48.140625" hidden="1" customWidth="1"/>
    <col min="16" max="24" width="0" hidden="1" customWidth="1"/>
  </cols>
  <sheetData>
    <row r="2" spans="2:24" x14ac:dyDescent="0.25">
      <c r="B2" s="29" t="s">
        <v>402</v>
      </c>
    </row>
    <row r="3" spans="2:24" x14ac:dyDescent="0.25">
      <c r="C3" s="40" t="s">
        <v>374</v>
      </c>
      <c r="D3" s="40" t="s">
        <v>373</v>
      </c>
      <c r="E3" s="40" t="s">
        <v>417</v>
      </c>
      <c r="F3" s="40" t="s">
        <v>1</v>
      </c>
    </row>
    <row r="4" spans="2:24" x14ac:dyDescent="0.25">
      <c r="C4" s="74">
        <f>$P$8*U12</f>
        <v>3475.9999999999991</v>
      </c>
      <c r="D4" s="74">
        <f>$P$8*V12</f>
        <v>2606.9999999999986</v>
      </c>
      <c r="E4" s="74">
        <f>$P$8*W12</f>
        <v>4345</v>
      </c>
      <c r="F4" s="74">
        <f>$P$8*X12</f>
        <v>0</v>
      </c>
    </row>
    <row r="6" spans="2:24" x14ac:dyDescent="0.25">
      <c r="B6" s="28" t="s">
        <v>337</v>
      </c>
      <c r="C6" s="33"/>
      <c r="D6" s="33"/>
      <c r="E6" s="33"/>
      <c r="F6" s="33"/>
    </row>
    <row r="7" spans="2:24" x14ac:dyDescent="0.25">
      <c r="B7" s="17"/>
      <c r="C7" s="40" t="s">
        <v>374</v>
      </c>
      <c r="D7" s="40" t="s">
        <v>373</v>
      </c>
      <c r="E7" s="40" t="s">
        <v>417</v>
      </c>
      <c r="F7" s="40" t="s">
        <v>1</v>
      </c>
      <c r="P7" t="s">
        <v>389</v>
      </c>
    </row>
    <row r="8" spans="2:24" x14ac:dyDescent="0.25">
      <c r="B8" s="22" t="s">
        <v>331</v>
      </c>
      <c r="C8" s="59">
        <f>('Chronic Treatment Assumpts.'!E3*'Input Sheet'!$C$8)*('Chronic Treatment Assumpts.'!E4/'Chronic Treatment Assumpts.'!E5)/(37.5*41.3*0.634)*U12</f>
        <v>2.2026967351246869</v>
      </c>
      <c r="D8" s="59">
        <f>('Chronic Treatment Assumpts.'!G3*'Input Sheet'!$C$8)*('Chronic Treatment Assumpts.'!F4/'Chronic Treatment Assumpts.'!G5)/(37.5*41.3*0.634)*V12</f>
        <v>1.4868202962091632</v>
      </c>
      <c r="E8" s="59">
        <f>('Chronic Treatment Assumpts.'!F3*'Input Sheet'!$C$8)*('Chronic Treatment Assumpts.'!G4/'Chronic Treatment Assumpts.'!F5)/(37.5*41.3*0.634)*W12</f>
        <v>2.9869157736344816</v>
      </c>
      <c r="F8" s="59">
        <f>('Chronic Treatment Assumpts.'!H3*'Input Sheet'!$C$8)*('Chronic Treatment Assumpts.'!H4/'Chronic Treatment Assumpts.'!H5)/(37.5*41.3*0.634)*X12</f>
        <v>0</v>
      </c>
      <c r="P8">
        <f>'Input Sheet'!$C$8</f>
        <v>34760</v>
      </c>
    </row>
    <row r="9" spans="2:24" x14ac:dyDescent="0.25">
      <c r="B9" s="22" t="s">
        <v>339</v>
      </c>
      <c r="C9" s="60">
        <f>('Input Sheet'!$C$8*'Chronic Treatment Assumpts.'!E8*'Chronic Treatment Assumpts.'!E9)/(37.5*3*41.3*0.634)*U12</f>
        <v>5.7820789297023047</v>
      </c>
      <c r="D9" s="60">
        <f>('Input Sheet'!$C$8*'Chronic Treatment Assumpts.'!G8*'Chronic Treatment Assumpts.'!F9)/(37.5*3*41.3*0.634)*V12</f>
        <v>3.9825543648459738</v>
      </c>
      <c r="E9" s="60">
        <f>('Input Sheet'!$C$8*'Chronic Treatment Assumpts.'!F8*'Chronic Treatment Assumpts.'!G9)/(37.5*3*41.3*0.634)*W12</f>
        <v>7.6701047026663245</v>
      </c>
      <c r="F9" s="60">
        <f>('Input Sheet'!$C$8*'Chronic Treatment Assumpts.'!H8*'Chronic Treatment Assumpts.'!H9)/(37.5*3*41.3*0.634)*X12</f>
        <v>0</v>
      </c>
    </row>
    <row r="10" spans="2:24" x14ac:dyDescent="0.25">
      <c r="B10" s="22" t="s">
        <v>375</v>
      </c>
      <c r="C10" s="60">
        <f>C8+C9</f>
        <v>7.9847756648269916</v>
      </c>
      <c r="D10" s="60">
        <f>D8+D9</f>
        <v>5.469374661055137</v>
      </c>
      <c r="E10" s="60">
        <f>E8+E9</f>
        <v>10.657020476300806</v>
      </c>
      <c r="F10" s="60">
        <f>F8+F9</f>
        <v>0</v>
      </c>
      <c r="L10" t="e">
        <f>IF('Input Sheet'!#REF!="Therapist (Grade 5)","Percentage Suitable - Grade 5 Physio",(IF('Input Sheet'!#REF!="Specialist (Grade 6)","Percentage Suitable - Grade 6 Physio","Percentage Suitable - Grade 7 Physio")))</f>
        <v>#REF!</v>
      </c>
      <c r="P10" t="s">
        <v>390</v>
      </c>
    </row>
    <row r="11" spans="2:24" x14ac:dyDescent="0.25">
      <c r="P11" t="s">
        <v>393</v>
      </c>
      <c r="Q11" t="s">
        <v>394</v>
      </c>
      <c r="R11" t="s">
        <v>395</v>
      </c>
      <c r="U11" t="s">
        <v>393</v>
      </c>
      <c r="V11" t="s">
        <v>394</v>
      </c>
      <c r="W11" t="s">
        <v>418</v>
      </c>
    </row>
    <row r="12" spans="2:24" x14ac:dyDescent="0.25">
      <c r="B12" s="28" t="s">
        <v>362</v>
      </c>
      <c r="C12" s="107" t="s">
        <v>359</v>
      </c>
      <c r="D12" s="108"/>
      <c r="E12" s="108"/>
      <c r="F12" s="109"/>
      <c r="G12" s="107" t="s">
        <v>360</v>
      </c>
      <c r="H12" s="108"/>
      <c r="I12" s="108"/>
      <c r="J12" s="109"/>
      <c r="O12" t="s">
        <v>391</v>
      </c>
      <c r="P12">
        <f>$P$8*'Chronic Treatment Assumpts.'!E3</f>
        <v>24332</v>
      </c>
      <c r="Q12">
        <f>$P$8*'Chronic Treatment Assumpts.'!G3</f>
        <v>27808</v>
      </c>
      <c r="R12">
        <f>$P$8*'Chronic Treatment Assumpts.'!F3</f>
        <v>20856</v>
      </c>
      <c r="S12">
        <f>$P$8*'Chronic Treatment Assumpts.'!H3</f>
        <v>0</v>
      </c>
      <c r="U12">
        <f>1-'Acute Treatment Assumpts.'!E13</f>
        <v>9.9999999999999978E-2</v>
      </c>
      <c r="V12">
        <f>1-'Acute Treatment Assumpts.'!G13</f>
        <v>7.4999999999999956E-2</v>
      </c>
      <c r="W12">
        <f>1-'Acute Treatment Assumpts.'!F13</f>
        <v>0.125</v>
      </c>
      <c r="X12">
        <v>0</v>
      </c>
    </row>
    <row r="13" spans="2:24" x14ac:dyDescent="0.25">
      <c r="B13" s="23"/>
      <c r="C13" s="40" t="s">
        <v>374</v>
      </c>
      <c r="D13" s="40" t="s">
        <v>373</v>
      </c>
      <c r="E13" s="40" t="s">
        <v>417</v>
      </c>
      <c r="F13" s="40" t="s">
        <v>1</v>
      </c>
      <c r="G13" s="40" t="s">
        <v>374</v>
      </c>
      <c r="H13" s="40" t="s">
        <v>373</v>
      </c>
      <c r="I13" s="40" t="s">
        <v>417</v>
      </c>
      <c r="J13" s="40" t="s">
        <v>1</v>
      </c>
      <c r="O13" t="s">
        <v>392</v>
      </c>
      <c r="P13">
        <f>$P$8*'Chronic Treatment Assumpts.'!E8</f>
        <v>24332</v>
      </c>
      <c r="Q13">
        <f>$P$8*'Chronic Treatment Assumpts.'!G8</f>
        <v>26070</v>
      </c>
      <c r="R13">
        <f>$P$8*'Chronic Treatment Assumpts.'!F8</f>
        <v>22594</v>
      </c>
      <c r="S13">
        <f>$P$8*'Chronic Treatment Assumpts.'!H8</f>
        <v>0</v>
      </c>
    </row>
    <row r="14" spans="2:24" x14ac:dyDescent="0.25">
      <c r="B14" s="22" t="s">
        <v>380</v>
      </c>
      <c r="C14" s="63">
        <f>'Chronic Treatment Assumpts.'!E12*'Input Sheet'!$C$8*'Cost and Staff Assumptions'!$C$12*U12</f>
        <v>431023.99999999988</v>
      </c>
      <c r="D14" s="63">
        <f>'Chronic Treatment Assumpts.'!G12*'Input Sheet'!$C$8*'Cost and Staff Assumptions'!$C$12*V12</f>
        <v>404084.99999999977</v>
      </c>
      <c r="E14" s="63">
        <f>'Chronic Treatment Assumpts.'!F12*'Input Sheet'!$C$8*'Cost and Staff Assumptions'!$C$12*W12</f>
        <v>404085</v>
      </c>
      <c r="F14" s="63">
        <f>VLOOKUP('Input Sheet'!$C$10,'Cost and Staff Assumptions'!$B$12:$D$12,3)*'Chronic Treatment Assumpts.'!H12*'Input Sheet'!$C$8</f>
        <v>0</v>
      </c>
      <c r="G14" s="63">
        <f>'Chronic Treatment Assumpts.'!E24*'Input Sheet'!$C$8*'Cost and Staff Assumptions'!C20*52*U12</f>
        <v>34415.180800000002</v>
      </c>
      <c r="H14" s="63">
        <f>'Chronic Treatment Assumpts.'!G24*'Input Sheet'!$C$8*'Cost and Staff Assumptions'!D20*52*V12</f>
        <v>27329.702399999987</v>
      </c>
      <c r="I14" s="63">
        <f>'Chronic Treatment Assumpts.'!F24*'Input Sheet'!$C$8*'Cost and Staff Assumptions'!E20*52*W12</f>
        <v>40488.448000000004</v>
      </c>
      <c r="J14" s="63">
        <f>'Chronic Treatment Assumpts.'!H24*'Input Sheet'!$C$8*'Cost and Staff Assumptions'!F20*52*X12</f>
        <v>0</v>
      </c>
    </row>
    <row r="15" spans="2:24" x14ac:dyDescent="0.25">
      <c r="B15" s="22" t="s">
        <v>365</v>
      </c>
      <c r="C15" s="63">
        <f>C8*'Cost and Staff Assumptions'!C8*41.3*37.5+(P12*'Cost and Staff Assumptions'!$C$12*'Chronic Treatment Assumpts.'!E13+P17*'Cost and Staff Assumptions'!$C$12*'Chronic Treatment Assumpts.'!E12)*U12</f>
        <v>445412.6169434152</v>
      </c>
      <c r="D15" s="63">
        <f>D8*'Cost and Staff Assumptions'!D8*41.3*37.5+(Q12*'Cost and Staff Assumptions'!$C$12*'Chronic Treatment Assumpts.'!F13+Q17*'Cost and Staff Assumptions'!$C$12*'Chronic Treatment Assumpts.'!F12)*V12</f>
        <v>229170.92555205035</v>
      </c>
      <c r="E15" s="63">
        <f>E8*'Cost and Staff Assumptions'!E8*41.3*37.5+(R12*'Cost and Staff Assumptions'!$C$12*'Chronic Treatment Assumpts.'!G13+R17*'Cost and Staff Assumptions'!$C$12*'Chronic Treatment Assumpts.'!G12)*W12</f>
        <v>733453.98297391762</v>
      </c>
      <c r="F15" s="63">
        <f>F8*'Cost and Staff Assumptions'!F8*41.3*37.5+(S12*'Cost and Staff Assumptions'!$C$12*'Chronic Treatment Assumpts.'!H13+S17*'Cost and Staff Assumptions'!$C$12*'Chronic Treatment Assumpts.'!H12)*X12</f>
        <v>0</v>
      </c>
      <c r="G15" s="63">
        <f>P12*'Chronic Treatment Assumpts.'!$E$25*'Cost and Staff Assumptions'!C$20*52*U12+P17*'Chronic Treatment Assumpts.'!$E$24*'Cost and Staff Assumptions'!C$20*52*U12</f>
        <v>28392.524159999994</v>
      </c>
      <c r="H15" s="63">
        <f>Q12*'Chronic Treatment Assumpts.'!$F$25*'Cost and Staff Assumptions'!D$20*52*V12+Q17*'Chronic Treatment Assumpts.'!$F$24*'Cost and Staff Assumptions'!D$20*52*V12</f>
        <v>19130.791679999988</v>
      </c>
      <c r="I15" s="63">
        <f>R12*'Chronic Treatment Assumpts.'!$G$25*'Cost and Staff Assumptions'!E20*52*W12+R17*'Chronic Treatment Assumpts.'!$G$24*'Cost and Staff Assumptions'!E20*52*W12</f>
        <v>39096.657600000006</v>
      </c>
      <c r="J15" s="63">
        <f>S12*'Chronic Treatment Assumpts.'!$H$25*'Cost and Staff Assumptions'!F20*52*X12+S17*'Chronic Treatment Assumpts.'!$H$24*'Cost and Staff Assumptions'!F20*52*X12</f>
        <v>0</v>
      </c>
      <c r="P15" t="s">
        <v>396</v>
      </c>
    </row>
    <row r="16" spans="2:24" x14ac:dyDescent="0.25">
      <c r="B16" s="22" t="s">
        <v>366</v>
      </c>
      <c r="C16" s="63">
        <f>C9*$Q$21*3*41.3*37.5+(P13*'Cost and Staff Assumptions'!$C$12*'Chronic Treatment Assumpts.'!E14+P18*'Cost and Staff Assumptions'!$C$12*'Chronic Treatment Assumpts.'!E13)*U12</f>
        <v>634468.96947646502</v>
      </c>
      <c r="D16" s="63">
        <f>D9*$Q$21*3*41.3*37.5+(Q13*'Cost and Staff Assumptions'!$C$12*'Chronic Treatment Assumpts.'!F14+Q18*'Cost and Staff Assumptions'!$C$12*'Chronic Treatment Assumpts.'!F13)*V12</f>
        <v>384640.57081287121</v>
      </c>
      <c r="E16" s="63">
        <f>E9*$Q$21*3*41.3*37.5+(R13*'Cost and Staff Assumptions'!$C$12*'Chronic Treatment Assumpts.'!G14+R18*'Cost and Staff Assumptions'!$C$12*'Chronic Treatment Assumpts.'!G13)*W12</f>
        <v>939090.21971367835</v>
      </c>
      <c r="F16" s="63">
        <f>F9*'Cost and Staff Assumptions'!F7*3*41.3*37.5+(S13*'Cost and Staff Assumptions'!$C$12*'Chronic Treatment Assumpts.'!H14+S18*'Cost and Staff Assumptions'!$C$12*'Chronic Treatment Assumpts.'!H13)*X12</f>
        <v>0</v>
      </c>
      <c r="G16" s="63">
        <f>P13*U12*'Chronic Treatment Assumpts.'!$E$25*'Cost and Staff Assumptions'!C$20*52+P18*'Chronic Treatment Assumpts.'!$E$24*'Cost and Staff Assumptions'!C$20*52*U12</f>
        <v>28392.524160000001</v>
      </c>
      <c r="H16" s="63">
        <f>Q13*'Chronic Treatment Assumpts.'!$F$25*'Cost and Staff Assumptions'!D$20*52*V12+Q18*'Chronic Treatment Assumpts.'!$F$24*'Cost and Staff Assumptions'!D$20*52*V12</f>
        <v>19453.43399999999</v>
      </c>
      <c r="I16" s="63">
        <f>R13*'Chronic Treatment Assumpts.'!$G$25*'Cost and Staff Assumptions'!E20*52*W12+R18*'Chronic Treatment Assumpts.'!$G$24*'Cost and Staff Assumptions'!E20*52*W12</f>
        <v>38558.920400000003</v>
      </c>
      <c r="J16" s="63">
        <f>S13*'Chronic Treatment Assumpts.'!$H$25*'Cost and Staff Assumptions'!F20*52*X12+S18*'Chronic Treatment Assumpts.'!$H$24*'Cost and Staff Assumptions'!F20*52*X12</f>
        <v>0</v>
      </c>
      <c r="P16" t="s">
        <v>393</v>
      </c>
      <c r="Q16" t="s">
        <v>394</v>
      </c>
      <c r="R16" t="s">
        <v>395</v>
      </c>
    </row>
    <row r="17" spans="1:19" x14ac:dyDescent="0.25">
      <c r="B17" s="22" t="s">
        <v>367</v>
      </c>
      <c r="C17" s="27">
        <f>C16+C15</f>
        <v>1079881.5864198802</v>
      </c>
      <c r="D17" s="27">
        <f>D16+D15</f>
        <v>613811.49636492156</v>
      </c>
      <c r="E17" s="27">
        <f>E16+E15</f>
        <v>1672544.202687596</v>
      </c>
      <c r="F17" s="27">
        <f>F16+F15</f>
        <v>0</v>
      </c>
      <c r="G17" s="27">
        <f>MIN(G15,G16)</f>
        <v>28392.524159999994</v>
      </c>
      <c r="H17" s="27">
        <f>MIN(H15,H16)</f>
        <v>19130.791679999988</v>
      </c>
      <c r="I17" s="27">
        <f>MIN(I15,I16)</f>
        <v>38558.920400000003</v>
      </c>
      <c r="J17" s="27">
        <f>MIN(J15,J16)</f>
        <v>0</v>
      </c>
      <c r="O17" t="s">
        <v>391</v>
      </c>
      <c r="P17">
        <f t="shared" ref="P17:S18" si="0">$P$8-P12</f>
        <v>10428</v>
      </c>
      <c r="Q17">
        <f t="shared" si="0"/>
        <v>6952</v>
      </c>
      <c r="R17">
        <f t="shared" si="0"/>
        <v>13904</v>
      </c>
      <c r="S17">
        <f t="shared" si="0"/>
        <v>34760</v>
      </c>
    </row>
    <row r="18" spans="1:19" x14ac:dyDescent="0.25">
      <c r="B18" s="23"/>
      <c r="C18" s="33"/>
      <c r="D18" s="33"/>
      <c r="E18" s="33"/>
      <c r="F18" s="33"/>
      <c r="G18" s="33"/>
      <c r="H18" s="33"/>
      <c r="I18" s="33"/>
      <c r="J18" s="33"/>
      <c r="O18" t="s">
        <v>392</v>
      </c>
      <c r="P18">
        <f t="shared" si="0"/>
        <v>10428</v>
      </c>
      <c r="Q18">
        <f t="shared" si="0"/>
        <v>8690</v>
      </c>
      <c r="R18">
        <f t="shared" si="0"/>
        <v>12166</v>
      </c>
      <c r="S18">
        <f t="shared" si="0"/>
        <v>34760</v>
      </c>
    </row>
    <row r="19" spans="1:19" x14ac:dyDescent="0.25">
      <c r="B19" s="28" t="s">
        <v>361</v>
      </c>
      <c r="C19" s="33"/>
      <c r="D19" s="33"/>
      <c r="E19" s="33"/>
      <c r="F19" s="33"/>
      <c r="I19" s="25"/>
      <c r="J19" s="25"/>
    </row>
    <row r="20" spans="1:19" x14ac:dyDescent="0.25">
      <c r="B20" s="17"/>
      <c r="C20" s="40" t="s">
        <v>374</v>
      </c>
      <c r="D20" s="40" t="s">
        <v>373</v>
      </c>
      <c r="E20" s="40" t="s">
        <v>417</v>
      </c>
      <c r="F20" s="40" t="s">
        <v>1</v>
      </c>
      <c r="P20" t="s">
        <v>397</v>
      </c>
    </row>
    <row r="21" spans="1:19" x14ac:dyDescent="0.25">
      <c r="B21" s="22" t="s">
        <v>380</v>
      </c>
      <c r="C21" s="27">
        <f t="shared" ref="C21:F24" si="1">C14+G14</f>
        <v>465439.18079999986</v>
      </c>
      <c r="D21" s="27">
        <f t="shared" si="1"/>
        <v>431414.70239999978</v>
      </c>
      <c r="E21" s="27">
        <f t="shared" si="1"/>
        <v>444573.44799999997</v>
      </c>
      <c r="F21" s="27">
        <f t="shared" si="1"/>
        <v>0</v>
      </c>
      <c r="O21" t="str">
        <f>IF('Chronic Treatment Assumpts.'!D8="Percentage Suitable - Grade 5 Physio","Therapist - Grade 5",IF('Chronic Treatment Assumpts.'!D8="Percentage Suitable - Grade 6 Physio","Specialist - Grade 6","Advanced - Grade 7"))</f>
        <v>Specialist - Grade 6</v>
      </c>
      <c r="Q21">
        <f>HLOOKUP($O$21,'Cost and Staff Assumptions'!$C$5:$F$8,2,FALSE)</f>
        <v>8.7761737540263809</v>
      </c>
    </row>
    <row r="22" spans="1:19" x14ac:dyDescent="0.25">
      <c r="B22" s="22" t="s">
        <v>365</v>
      </c>
      <c r="C22" s="27">
        <f t="shared" si="1"/>
        <v>473805.14110341517</v>
      </c>
      <c r="D22" s="27">
        <f t="shared" si="1"/>
        <v>248301.71723205035</v>
      </c>
      <c r="E22" s="27">
        <f t="shared" si="1"/>
        <v>772550.64057391766</v>
      </c>
      <c r="F22" s="27">
        <f t="shared" si="1"/>
        <v>0</v>
      </c>
    </row>
    <row r="23" spans="1:19" x14ac:dyDescent="0.25">
      <c r="B23" s="22" t="s">
        <v>366</v>
      </c>
      <c r="C23" s="27">
        <f t="shared" si="1"/>
        <v>662861.49363646505</v>
      </c>
      <c r="D23" s="27">
        <f t="shared" si="1"/>
        <v>404094.00481287122</v>
      </c>
      <c r="E23" s="27">
        <f t="shared" si="1"/>
        <v>977649.1401136783</v>
      </c>
      <c r="F23" s="27">
        <f t="shared" si="1"/>
        <v>0</v>
      </c>
    </row>
    <row r="24" spans="1:19" x14ac:dyDescent="0.25">
      <c r="B24" s="22" t="s">
        <v>367</v>
      </c>
      <c r="C24" s="27">
        <f t="shared" si="1"/>
        <v>1108274.1105798802</v>
      </c>
      <c r="D24" s="27">
        <f t="shared" si="1"/>
        <v>632942.28804492159</v>
      </c>
      <c r="E24" s="27">
        <f t="shared" si="1"/>
        <v>1711103.1230875959</v>
      </c>
      <c r="F24" s="27">
        <f t="shared" si="1"/>
        <v>0</v>
      </c>
      <c r="K24" s="25"/>
      <c r="P24" t="s">
        <v>398</v>
      </c>
    </row>
    <row r="25" spans="1:19" x14ac:dyDescent="0.25">
      <c r="A25" s="25"/>
      <c r="B25" s="23"/>
      <c r="C25" s="33"/>
      <c r="D25" s="33"/>
      <c r="E25" s="33"/>
      <c r="F25" s="33"/>
      <c r="K25" s="25"/>
      <c r="L25" s="25"/>
      <c r="P25" t="s">
        <v>393</v>
      </c>
      <c r="Q25" t="s">
        <v>394</v>
      </c>
      <c r="R25" t="s">
        <v>395</v>
      </c>
      <c r="S25" t="s">
        <v>399</v>
      </c>
    </row>
    <row r="26" spans="1:19" x14ac:dyDescent="0.25">
      <c r="B26" s="28" t="s">
        <v>381</v>
      </c>
      <c r="C26" s="107" t="s">
        <v>358</v>
      </c>
      <c r="D26" s="108"/>
      <c r="E26" s="108"/>
      <c r="F26" s="109"/>
      <c r="G26" s="107" t="s">
        <v>371</v>
      </c>
      <c r="H26" s="108"/>
      <c r="I26" s="108"/>
      <c r="J26" s="109"/>
      <c r="O26" s="22" t="s">
        <v>380</v>
      </c>
      <c r="P26">
        <f>$P$8*U$12*'Chronic Treatment Assumpts.'!E24*'Cost and Staff Assumptions'!C$21</f>
        <v>71972.343188405779</v>
      </c>
      <c r="Q26">
        <f>$P$8*V$12*'Chronic Treatment Assumpts.'!G24*'Cost and Staff Assumptions'!E$21</f>
        <v>83350.323913043423</v>
      </c>
      <c r="R26">
        <f>$P$8*W$12*'Chronic Treatment Assumpts.'!F24*'Cost and Staff Assumptions'!D$21</f>
        <v>56448.896618357488</v>
      </c>
      <c r="S26">
        <f>$P$8*X$12*'Chronic Treatment Assumpts.'!H24*'Cost and Staff Assumptions'!F$21</f>
        <v>0</v>
      </c>
    </row>
    <row r="27" spans="1:19" s="25" customFormat="1" x14ac:dyDescent="0.25">
      <c r="A27"/>
      <c r="B27" s="23"/>
      <c r="C27" s="40" t="s">
        <v>374</v>
      </c>
      <c r="D27" s="40" t="s">
        <v>373</v>
      </c>
      <c r="E27" s="40" t="s">
        <v>417</v>
      </c>
      <c r="F27" s="40" t="s">
        <v>1</v>
      </c>
      <c r="G27" s="40" t="s">
        <v>374</v>
      </c>
      <c r="H27" s="40" t="s">
        <v>373</v>
      </c>
      <c r="I27" s="40" t="s">
        <v>417</v>
      </c>
      <c r="J27" s="40" t="s">
        <v>1</v>
      </c>
      <c r="K27"/>
      <c r="L27"/>
      <c r="O27" s="22" t="s">
        <v>365</v>
      </c>
      <c r="P27">
        <f>$P$12*U$12*'Chronic Treatment Assumpts.'!E$25*'Cost and Staff Assumptions'!C$21+P17*U12*'Chronic Treatment Assumpts.'!E$24*'Cost and Staff Assumptions'!C$21</f>
        <v>59377.183130434772</v>
      </c>
      <c r="Q27">
        <f>$Q$12*V$12*'Chronic Treatment Assumpts.'!F$25*'Cost and Staff Assumptions'!D$21+Q17*V12*'Chronic Treatment Assumpts.'!F$24*'Cost and Staff Assumptions'!D$21</f>
        <v>26672.103652173893</v>
      </c>
      <c r="R27">
        <f>$R$12*W$12*'Chronic Treatment Assumpts.'!G$25*'Cost and Staff Assumptions'!E$21+R17*W12*'Chronic Treatment Assumpts.'!G$24*'Cost and Staff Assumptions'!E$21</f>
        <v>119237.2689311594</v>
      </c>
      <c r="S27">
        <f>$P$12*X$12*'Chronic Treatment Assumpts.'!H$25*'Cost and Staff Assumptions'!F$21+S17*X12*'Chronic Treatment Assumpts.'!H$24*'Cost and Staff Assumptions'!F$21</f>
        <v>0</v>
      </c>
    </row>
    <row r="28" spans="1:19" x14ac:dyDescent="0.25">
      <c r="B28" s="22" t="s">
        <v>365</v>
      </c>
      <c r="C28" s="63">
        <f>P$26-P27</f>
        <v>12595.160057971007</v>
      </c>
      <c r="D28" s="63">
        <f t="shared" ref="D28:F30" si="2">Q$26-Q27</f>
        <v>56678.22026086953</v>
      </c>
      <c r="E28" s="63">
        <f t="shared" si="2"/>
        <v>-62788.372312801912</v>
      </c>
      <c r="F28" s="63">
        <f t="shared" si="2"/>
        <v>0</v>
      </c>
      <c r="G28" s="27">
        <f t="shared" ref="G28:J30" si="3">P$33-P34</f>
        <v>0</v>
      </c>
      <c r="H28" s="27">
        <f t="shared" si="3"/>
        <v>137649.59999999995</v>
      </c>
      <c r="I28" s="27">
        <f t="shared" si="3"/>
        <v>-229416</v>
      </c>
      <c r="J28" s="27">
        <f t="shared" si="3"/>
        <v>0</v>
      </c>
      <c r="O28" s="22" t="s">
        <v>366</v>
      </c>
      <c r="P28">
        <f>$P$13*U$12*'Chronic Treatment Assumpts.'!E$25*'Cost and Staff Assumptions'!C$21+P18*U12*'Chronic Treatment Assumpts.'!E$24*'Cost and Staff Assumptions'!C$21</f>
        <v>59377.183130434772</v>
      </c>
      <c r="Q28">
        <f>$Q$13*V$12*'Chronic Treatment Assumpts.'!F$25*'Cost and Staff Assumptions'!D$21+Q18*V12*'Chronic Treatment Assumpts.'!F$24*'Cost and Staff Assumptions'!D$21</f>
        <v>27121.930797101435</v>
      </c>
      <c r="R28">
        <f>$R$13*W$12*'Chronic Treatment Assumpts.'!G$25*'Cost and Staff Assumptions'!E$21+R18*W12*'Chronic Treatment Assumpts.'!G$24*'Cost and Staff Assumptions'!E$21</f>
        <v>117597.27413194443</v>
      </c>
      <c r="S28">
        <f>$P$13*X$12*'Chronic Treatment Assumpts.'!H$25*'Cost and Staff Assumptions'!F$21+S18*X12*'Chronic Treatment Assumpts.'!H$24*'Cost and Staff Assumptions'!F$21</f>
        <v>0</v>
      </c>
    </row>
    <row r="29" spans="1:19" x14ac:dyDescent="0.25">
      <c r="B29" s="22" t="s">
        <v>366</v>
      </c>
      <c r="C29" s="27">
        <f>P$26-P28</f>
        <v>12595.160057971007</v>
      </c>
      <c r="D29" s="27">
        <f t="shared" si="2"/>
        <v>56228.393115941988</v>
      </c>
      <c r="E29" s="27">
        <f t="shared" si="2"/>
        <v>-61148.377513586944</v>
      </c>
      <c r="F29" s="27">
        <f t="shared" si="2"/>
        <v>0</v>
      </c>
      <c r="G29" s="27">
        <f t="shared" si="3"/>
        <v>37019.399999999965</v>
      </c>
      <c r="H29" s="27">
        <f t="shared" si="3"/>
        <v>156811.04999999993</v>
      </c>
      <c r="I29" s="27">
        <f t="shared" si="3"/>
        <v>-169455</v>
      </c>
      <c r="J29" s="27">
        <f t="shared" si="3"/>
        <v>0</v>
      </c>
      <c r="O29" s="22" t="s">
        <v>367</v>
      </c>
      <c r="P29">
        <f>MIN(P27:P28)</f>
        <v>59377.183130434772</v>
      </c>
      <c r="Q29">
        <f>MIN(Q27:Q28)</f>
        <v>26672.103652173893</v>
      </c>
      <c r="R29">
        <f>MIN(R27:R28)</f>
        <v>117597.27413194443</v>
      </c>
      <c r="S29">
        <f>MIN(S27:S28)</f>
        <v>0</v>
      </c>
    </row>
    <row r="30" spans="1:19" x14ac:dyDescent="0.25">
      <c r="B30" s="22" t="s">
        <v>367</v>
      </c>
      <c r="C30" s="27">
        <f>P$26-P29</f>
        <v>12595.160057971007</v>
      </c>
      <c r="D30" s="27">
        <f t="shared" si="2"/>
        <v>56678.22026086953</v>
      </c>
      <c r="E30" s="27">
        <f t="shared" si="2"/>
        <v>-61148.377513586944</v>
      </c>
      <c r="F30" s="27">
        <f t="shared" si="2"/>
        <v>0</v>
      </c>
      <c r="G30" s="27">
        <f t="shared" si="3"/>
        <v>69102.879999999976</v>
      </c>
      <c r="H30" s="27">
        <f t="shared" si="3"/>
        <v>176930.57249999992</v>
      </c>
      <c r="I30" s="27">
        <f t="shared" si="3"/>
        <v>-130480.34999999998</v>
      </c>
      <c r="J30" s="27">
        <f t="shared" si="3"/>
        <v>0</v>
      </c>
    </row>
    <row r="31" spans="1:19" x14ac:dyDescent="0.25">
      <c r="B31" s="23"/>
      <c r="C31" s="25"/>
      <c r="D31" s="25"/>
      <c r="E31" s="25"/>
      <c r="F31" s="25"/>
      <c r="P31" t="s">
        <v>400</v>
      </c>
    </row>
    <row r="32" spans="1:19" x14ac:dyDescent="0.25">
      <c r="A32" s="25"/>
      <c r="B32" s="28" t="s">
        <v>401</v>
      </c>
      <c r="K32" s="25"/>
      <c r="L32" s="25"/>
      <c r="P32" t="s">
        <v>393</v>
      </c>
      <c r="Q32" t="s">
        <v>394</v>
      </c>
      <c r="R32" t="s">
        <v>395</v>
      </c>
      <c r="S32" t="s">
        <v>399</v>
      </c>
    </row>
    <row r="33" spans="2:36" x14ac:dyDescent="0.25">
      <c r="B33" s="17"/>
      <c r="C33" s="40" t="s">
        <v>374</v>
      </c>
      <c r="D33" s="40" t="s">
        <v>373</v>
      </c>
      <c r="E33" s="40" t="s">
        <v>417</v>
      </c>
      <c r="F33" s="40" t="s">
        <v>1</v>
      </c>
      <c r="O33" s="22" t="s">
        <v>380</v>
      </c>
      <c r="P33">
        <f>$P$8*U$12*'Chronic Treatment Assumpts.'!E18*'Cost and Staff Assumptions'!C$16</f>
        <v>222116.39999999994</v>
      </c>
      <c r="Q33">
        <f>$P$8*V$12*'Chronic Treatment Assumpts.'!G18*'Cost and Staff Assumptions'!E$16</f>
        <v>239843.99999999988</v>
      </c>
      <c r="R33">
        <f>$P$8*W$12*'Chronic Treatment Assumpts.'!F18*'Cost and Staff Assumptions'!D$16</f>
        <v>170324</v>
      </c>
      <c r="S33">
        <f>$P$8*X$12*'Chronic Treatment Assumpts.'!H18*'Cost and Staff Assumptions'!F$16</f>
        <v>0</v>
      </c>
    </row>
    <row r="34" spans="2:36" x14ac:dyDescent="0.25">
      <c r="B34" s="22" t="s">
        <v>365</v>
      </c>
      <c r="C34" s="73">
        <f>C22-C$21-C28-G28</f>
        <v>-4229.1997545556951</v>
      </c>
      <c r="D34" s="73">
        <f t="shared" ref="D34:F36" si="4">D22-D$21-D28-H28</f>
        <v>-377440.80542881892</v>
      </c>
      <c r="E34" s="73">
        <f t="shared" si="4"/>
        <v>620181.56488671957</v>
      </c>
      <c r="F34" s="73">
        <f t="shared" si="4"/>
        <v>0</v>
      </c>
      <c r="O34" s="22" t="s">
        <v>365</v>
      </c>
      <c r="P34">
        <f>$P$12*U$12*'Chronic Treatment Assumpts.'!E$19*'Cost and Staff Assumptions'!C$16+P17*U$12*'Chronic Treatment Assumpts.'!E$19*'Cost and Staff Assumptions'!C$16</f>
        <v>222116.39999999997</v>
      </c>
      <c r="Q34">
        <f>$Q$12*V$12*'Chronic Treatment Assumpts.'!F$19*'Cost and Staff Assumptions'!D$16+Q17*V$12*'Chronic Treatment Assumpts.'!F$19*'Cost and Staff Assumptions'!D$16</f>
        <v>102194.39999999994</v>
      </c>
      <c r="R34">
        <f>$R$12*W$12*'Chronic Treatment Assumpts.'!G19*'Cost and Staff Assumptions'!E$16+R17*W$12*'Chronic Treatment Assumpts.'!G19*'Cost and Staff Assumptions'!E$16</f>
        <v>399740</v>
      </c>
      <c r="S34">
        <f>$P$12*X$12*'Chronic Treatment Assumpts.'!H$25*'Cost and Staff Assumptions'!F$21+S24*X19*'Chronic Treatment Assumpts.'!H$24*'Cost and Staff Assumptions'!F$21</f>
        <v>0</v>
      </c>
    </row>
    <row r="35" spans="2:36" x14ac:dyDescent="0.25">
      <c r="B35" s="22" t="s">
        <v>366</v>
      </c>
      <c r="C35" s="73">
        <f>C23-C$21-C29-G29</f>
        <v>147807.75277849421</v>
      </c>
      <c r="D35" s="73">
        <f t="shared" si="4"/>
        <v>-240360.14070307047</v>
      </c>
      <c r="E35" s="73">
        <f t="shared" si="4"/>
        <v>763679.06962726521</v>
      </c>
      <c r="F35" s="73">
        <f t="shared" si="4"/>
        <v>0</v>
      </c>
      <c r="O35" s="22" t="s">
        <v>366</v>
      </c>
      <c r="P35">
        <f>$P$13*U$12*'Chronic Treatment Assumpts.'!E$20*'Cost and Staff Assumptions'!C$16+P18*U$12*'Chronic Treatment Assumpts.'!E$20*'Cost and Staff Assumptions'!C$16</f>
        <v>185096.99999999997</v>
      </c>
      <c r="Q35">
        <f>$Q$13*V$12*'Chronic Treatment Assumpts.'!F$20*'Cost and Staff Assumptions'!D$16+Q18*V$12*'Chronic Treatment Assumpts.'!F$20*'Cost and Staff Assumptions'!D$16</f>
        <v>83032.949999999953</v>
      </c>
      <c r="R35">
        <f>$R$13*W$12*'Chronic Treatment Assumpts.'!G20*'Cost and Staff Assumptions'!E$16+R18*W$12*'Chronic Treatment Assumpts.'!G20*'Cost and Staff Assumptions'!E$16</f>
        <v>339779</v>
      </c>
      <c r="S35">
        <f>$R$13*X$12*'Chronic Treatment Assumpts.'!H20*'Cost and Staff Assumptions'!G$16+S18*X$12*'Chronic Treatment Assumpts.'!H20*'Cost and Staff Assumptions'!G$16</f>
        <v>0</v>
      </c>
    </row>
    <row r="36" spans="2:36" x14ac:dyDescent="0.25">
      <c r="B36" s="22" t="s">
        <v>367</v>
      </c>
      <c r="C36" s="73">
        <f>C24-C$21-C30-G30</f>
        <v>561136.88972190931</v>
      </c>
      <c r="D36" s="73">
        <f t="shared" si="4"/>
        <v>-32081.207115947647</v>
      </c>
      <c r="E36" s="73">
        <f t="shared" si="4"/>
        <v>1458158.4026011829</v>
      </c>
      <c r="F36" s="73">
        <f t="shared" si="4"/>
        <v>0</v>
      </c>
      <c r="O36" s="22" t="s">
        <v>367</v>
      </c>
      <c r="P36">
        <f>MIN(P12:P13)*U12*'Chronic Treatment Assumpts.'!E21*'Cost and Staff Assumptions'!C16+((MAX(P12:P13)-MIN(P12:P13))*U12*'Chronic Treatment Assumpts.'!E20*'Cost and Staff Assumptions'!C16+('Chronic Treatment Results'!$P$8-MAX('Chronic Treatment Results'!P12:P13))*'Chronic Treatment Results'!U12*'Chronic Treatment Assumpts.'!E18*'Cost and Staff Assumptions'!C16)</f>
        <v>153013.51999999996</v>
      </c>
      <c r="Q36">
        <f>MIN(Q12:Q13)*V12*'Chronic Treatment Assumpts.'!F21*'Cost and Staff Assumptions'!D16+((MAX(Q12:Q13)-MIN(Q12:Q13))*V12*'Chronic Treatment Assumpts.'!F20*'Cost and Staff Assumptions'!D16+('Chronic Treatment Results'!$P$8-MAX('Chronic Treatment Results'!Q12:Q13))*'Chronic Treatment Results'!V12*'Chronic Treatment Assumpts.'!F18*'Cost and Staff Assumptions'!D16)</f>
        <v>62913.427499999962</v>
      </c>
      <c r="R36">
        <f>MIN(R12:R13)*W12*'Chronic Treatment Assumpts.'!G21*'Cost and Staff Assumptions'!E16+((MAX(R12:R13)-MIN(R12:R13))*W12*'Chronic Treatment Assumpts.'!G20*'Cost and Staff Assumptions'!E16+('Chronic Treatment Results'!$P$8-MAX('Chronic Treatment Results'!R12:R13))*'Chronic Treatment Results'!W12*'Chronic Treatment Assumpts.'!G18*'Cost and Staff Assumptions'!E16)</f>
        <v>300804.34999999998</v>
      </c>
      <c r="S36">
        <f>MIN(S12:S13)*X12*'Chronic Treatment Assumpts.'!H21*'Cost and Staff Assumptions'!F16+((MAX(S12:S13)-MIN(S12:S13))*X12*'Chronic Treatment Assumpts.'!H20*'Cost and Staff Assumptions'!F16+('Chronic Treatment Results'!$P$8-MAX('Chronic Treatment Results'!S12:S13))*'Chronic Treatment Results'!X12*'Chronic Treatment Assumpts.'!H18*'Cost and Staff Assumptions'!F16)</f>
        <v>0</v>
      </c>
    </row>
    <row r="37" spans="2:36" x14ac:dyDescent="0.25">
      <c r="B37" s="23"/>
      <c r="C37" s="82"/>
      <c r="D37" s="82"/>
      <c r="E37" s="82"/>
      <c r="F37" s="82"/>
    </row>
    <row r="38" spans="2:36" x14ac:dyDescent="0.25">
      <c r="B38" s="28" t="s">
        <v>404</v>
      </c>
      <c r="C38" s="82"/>
      <c r="D38" s="82"/>
      <c r="E38" s="82"/>
      <c r="F38" s="82"/>
      <c r="P38">
        <f>MIN(P12:P13)*U12*'Chronic Treatment Assumpts.'!E21*'Cost and Staff Assumptions'!C16</f>
        <v>86378.599999999977</v>
      </c>
    </row>
    <row r="39" spans="2:36" ht="29.25" customHeight="1" x14ac:dyDescent="0.25">
      <c r="B39" s="23"/>
      <c r="C39" s="110" t="s">
        <v>403</v>
      </c>
      <c r="D39" s="111"/>
      <c r="E39" s="111"/>
      <c r="F39" s="79"/>
      <c r="H39" s="33"/>
      <c r="I39" s="33"/>
      <c r="J39" s="33"/>
      <c r="K39" s="75"/>
      <c r="P39">
        <f>((MAX(P12:P13)-MIN(P12:P13)))</f>
        <v>0</v>
      </c>
      <c r="Q39">
        <f>'Chronic Treatment Assumpts.'!E20*'Cost and Staff Assumptions'!C16</f>
        <v>53.25</v>
      </c>
    </row>
    <row r="40" spans="2:36" ht="30.75" customHeight="1" x14ac:dyDescent="0.25">
      <c r="B40" s="23"/>
      <c r="C40" s="40" t="s">
        <v>374</v>
      </c>
      <c r="D40" s="40" t="s">
        <v>373</v>
      </c>
      <c r="E40" s="76" t="s">
        <v>417</v>
      </c>
      <c r="F40" s="77"/>
      <c r="G40" s="80"/>
      <c r="H40" s="33"/>
      <c r="I40" s="33"/>
      <c r="J40" s="33"/>
      <c r="P40">
        <f>('Chronic Treatment Results'!$P$8-MAX('Chronic Treatment Results'!P12:P13))*'Chronic Treatment Results'!U12*'Chronic Treatment Assumpts.'!E18*'Cost and Staff Assumptions'!C16</f>
        <v>66634.919999999984</v>
      </c>
    </row>
    <row r="41" spans="2:36" x14ac:dyDescent="0.25">
      <c r="B41" s="22" t="s">
        <v>365</v>
      </c>
      <c r="C41" s="81">
        <v>6.3621533442088096E-2</v>
      </c>
      <c r="D41" s="81">
        <v>0.24306688417618272</v>
      </c>
      <c r="E41" s="81">
        <v>-6.6884176182707991E-2</v>
      </c>
      <c r="F41" s="78"/>
      <c r="G41" s="80"/>
      <c r="H41" s="33"/>
      <c r="I41" s="33"/>
      <c r="J41" s="33"/>
    </row>
    <row r="42" spans="2:36" x14ac:dyDescent="0.25">
      <c r="B42" s="22" t="s">
        <v>366</v>
      </c>
      <c r="C42" s="81">
        <v>0.16396103896103895</v>
      </c>
      <c r="D42" s="81">
        <v>0.29383116883116883</v>
      </c>
      <c r="E42" s="81">
        <v>3.5714285714285712E-2</v>
      </c>
      <c r="F42" s="79"/>
      <c r="G42" s="80"/>
      <c r="H42" s="33"/>
      <c r="I42" s="33"/>
      <c r="J42" s="33"/>
    </row>
    <row r="43" spans="2:36" x14ac:dyDescent="0.25">
      <c r="B43" s="22" t="s">
        <v>367</v>
      </c>
      <c r="C43" s="81">
        <v>0.21452145214521454</v>
      </c>
      <c r="D43" s="81">
        <v>0.34158415841584155</v>
      </c>
      <c r="E43" s="81">
        <v>8.9108910891089119E-2</v>
      </c>
      <c r="F43" s="79"/>
      <c r="G43" s="33"/>
      <c r="H43" s="33"/>
      <c r="I43" s="80"/>
      <c r="J43" s="80"/>
      <c r="K43" s="80"/>
      <c r="L43" s="80"/>
      <c r="M43" s="80"/>
    </row>
    <row r="44" spans="2:36" x14ac:dyDescent="0.25">
      <c r="G44" s="33"/>
      <c r="H44" s="33"/>
      <c r="I44" s="80"/>
      <c r="J44" s="80"/>
      <c r="K44" s="80"/>
    </row>
    <row r="45" spans="2:36" x14ac:dyDescent="0.25">
      <c r="F45" s="33"/>
      <c r="G45" s="33"/>
      <c r="H45" s="33"/>
      <c r="I45" s="80"/>
      <c r="J45" s="80"/>
      <c r="K45" s="80"/>
    </row>
    <row r="46" spans="2:36" x14ac:dyDescent="0.25">
      <c r="B46" s="28" t="s">
        <v>406</v>
      </c>
      <c r="C46" s="33"/>
      <c r="D46" s="33"/>
      <c r="E46" s="33"/>
      <c r="F46" s="33"/>
      <c r="G46" s="33"/>
    </row>
    <row r="47" spans="2:36" x14ac:dyDescent="0.25">
      <c r="B47" s="28"/>
      <c r="C47" s="107" t="s">
        <v>407</v>
      </c>
      <c r="D47" s="108"/>
      <c r="E47" s="108"/>
      <c r="F47" s="109"/>
      <c r="G47" s="33"/>
      <c r="AG47" s="107" t="s">
        <v>372</v>
      </c>
      <c r="AH47" s="108"/>
      <c r="AI47" s="108"/>
      <c r="AJ47" s="109"/>
    </row>
    <row r="48" spans="2:36" x14ac:dyDescent="0.25">
      <c r="B48" s="23"/>
      <c r="C48" s="40" t="s">
        <v>374</v>
      </c>
      <c r="D48" s="40" t="s">
        <v>373</v>
      </c>
      <c r="E48" s="40" t="s">
        <v>417</v>
      </c>
      <c r="F48" s="40" t="s">
        <v>1</v>
      </c>
      <c r="AG48" s="40" t="s">
        <v>374</v>
      </c>
      <c r="AH48" s="40" t="s">
        <v>373</v>
      </c>
      <c r="AI48" s="40" t="s">
        <v>417</v>
      </c>
      <c r="AJ48" s="40" t="s">
        <v>1</v>
      </c>
    </row>
    <row r="49" spans="2:41" x14ac:dyDescent="0.25">
      <c r="B49" s="22" t="s">
        <v>365</v>
      </c>
      <c r="C49" s="61" t="str">
        <f t="shared" ref="C49:F51" si="5">CONCATENATE(AG49," (",AL49,"%)")</f>
        <v>0 (0%)</v>
      </c>
      <c r="D49" s="61" t="str">
        <f t="shared" si="5"/>
        <v>0 (0%)</v>
      </c>
      <c r="E49" s="61" t="str">
        <f t="shared" si="5"/>
        <v>207 (4.8%)</v>
      </c>
      <c r="F49" s="61" t="e">
        <f t="shared" si="5"/>
        <v>#DIV/0!</v>
      </c>
      <c r="AG49" s="61">
        <f>IF(C34&lt;0,0,ROUND(C34/'Cost and Staff Assumptions'!$D$25,0))</f>
        <v>0</v>
      </c>
      <c r="AH49" s="61">
        <f>IF(D34&lt;0,0,ROUND(D34/'Cost and Staff Assumptions'!$D$25,0))</f>
        <v>0</v>
      </c>
      <c r="AI49" s="61">
        <f>IF(E34&lt;0,0,ROUND(E34/'Cost and Staff Assumptions'!$D$25,0))</f>
        <v>207</v>
      </c>
      <c r="AJ49" s="61">
        <f>IF(F34&lt;0,0,ROUND(F34/'Cost and Staff Assumptions'!$D$25,0))</f>
        <v>0</v>
      </c>
      <c r="AL49">
        <f>ROUND(AG49/C$4*100,1)</f>
        <v>0</v>
      </c>
      <c r="AM49">
        <f t="shared" ref="AM49:AO51" si="6">ROUND(AH49/D$4*100,1)</f>
        <v>0</v>
      </c>
      <c r="AN49">
        <f t="shared" si="6"/>
        <v>4.8</v>
      </c>
      <c r="AO49" t="e">
        <f t="shared" si="6"/>
        <v>#DIV/0!</v>
      </c>
    </row>
    <row r="50" spans="2:41" x14ac:dyDescent="0.25">
      <c r="B50" s="22" t="s">
        <v>366</v>
      </c>
      <c r="C50" s="61" t="str">
        <f>CONCATENATE(AG50," (",AL50,"%)")</f>
        <v>49 (1.4%)</v>
      </c>
      <c r="D50" s="61" t="str">
        <f t="shared" si="5"/>
        <v>0 (0%)</v>
      </c>
      <c r="E50" s="61" t="str">
        <f t="shared" si="5"/>
        <v>255 (5.9%)</v>
      </c>
      <c r="F50" s="61" t="e">
        <f t="shared" si="5"/>
        <v>#DIV/0!</v>
      </c>
      <c r="AG50" s="61">
        <f>IF(C35&lt;0,0,ROUND(C35/'Cost and Staff Assumptions'!$D$25,0))</f>
        <v>49</v>
      </c>
      <c r="AH50" s="61">
        <f>IF(D35&lt;0,0,ROUND(D35/'Cost and Staff Assumptions'!$D$25,0))</f>
        <v>0</v>
      </c>
      <c r="AI50" s="61">
        <f>IF(E35&lt;0,0,ROUND(E35/'Cost and Staff Assumptions'!$D$25,0))</f>
        <v>255</v>
      </c>
      <c r="AJ50" s="61">
        <f>IF(F35&lt;0,0,ROUND(F35/'Cost and Staff Assumptions'!$D$25,0))</f>
        <v>0</v>
      </c>
      <c r="AL50">
        <f>ROUND(AG50/C$4*100,1)</f>
        <v>1.4</v>
      </c>
      <c r="AM50">
        <f t="shared" si="6"/>
        <v>0</v>
      </c>
      <c r="AN50">
        <f t="shared" si="6"/>
        <v>5.9</v>
      </c>
      <c r="AO50" t="e">
        <f t="shared" si="6"/>
        <v>#DIV/0!</v>
      </c>
    </row>
    <row r="51" spans="2:41" x14ac:dyDescent="0.25">
      <c r="B51" s="22" t="s">
        <v>367</v>
      </c>
      <c r="C51" s="61" t="str">
        <f t="shared" si="5"/>
        <v>187 (5.4%)</v>
      </c>
      <c r="D51" s="61" t="str">
        <f t="shared" si="5"/>
        <v>0 (0%)</v>
      </c>
      <c r="E51" s="61" t="str">
        <f t="shared" si="5"/>
        <v>486 (11.2%)</v>
      </c>
      <c r="F51" s="61" t="e">
        <f t="shared" si="5"/>
        <v>#DIV/0!</v>
      </c>
      <c r="AG51" s="61">
        <f>IF(C36&lt;0,0,ROUND(C36/'Cost and Staff Assumptions'!$D$25,0))</f>
        <v>187</v>
      </c>
      <c r="AH51" s="61">
        <f>IF(D36&lt;0,0,ROUND(D36/'Cost and Staff Assumptions'!$D$25,0))</f>
        <v>0</v>
      </c>
      <c r="AI51" s="61">
        <f>IF(E36&lt;0,0,ROUND(E36/'Cost and Staff Assumptions'!$D$25,0))</f>
        <v>486</v>
      </c>
      <c r="AJ51" s="61">
        <f>IF(F36&lt;0,0,ROUND(F36/'Cost and Staff Assumptions'!$D$25,0))</f>
        <v>0</v>
      </c>
      <c r="AL51">
        <f>ROUND(AG51/C$4*100,1)</f>
        <v>5.4</v>
      </c>
      <c r="AM51">
        <f t="shared" si="6"/>
        <v>0</v>
      </c>
      <c r="AN51">
        <f t="shared" si="6"/>
        <v>11.2</v>
      </c>
      <c r="AO51" t="e">
        <f t="shared" si="6"/>
        <v>#DIV/0!</v>
      </c>
    </row>
  </sheetData>
  <mergeCells count="7">
    <mergeCell ref="AG47:AJ47"/>
    <mergeCell ref="C47:F47"/>
    <mergeCell ref="C12:F12"/>
    <mergeCell ref="G12:J12"/>
    <mergeCell ref="C26:F26"/>
    <mergeCell ref="G26:J26"/>
    <mergeCell ref="C39:E39"/>
  </mergeCells>
  <pageMargins left="0.7" right="0.7" top="0.75" bottom="0.75" header="0.3" footer="0.3"/>
  <pageSetup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The Model</vt:lpstr>
      <vt:lpstr>Input Sheet</vt:lpstr>
      <vt:lpstr>Cost and Staff Assumptions</vt:lpstr>
      <vt:lpstr>Acute Treatment Assumpts.</vt:lpstr>
      <vt:lpstr>Chronic Treatment Assumpts.</vt:lpstr>
      <vt:lpstr>Scenarios Explained</vt:lpstr>
      <vt:lpstr>Acute Treatment Results</vt:lpstr>
      <vt:lpstr>Chronic Treatment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Cheryl Gurgul</cp:lastModifiedBy>
  <dcterms:created xsi:type="dcterms:W3CDTF">2008-11-20T15:11:45Z</dcterms:created>
  <dcterms:modified xsi:type="dcterms:W3CDTF">2019-01-25T12:08:09Z</dcterms:modified>
</cp:coreProperties>
</file>